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845" activeTab="7"/>
  </bookViews>
  <sheets>
    <sheet name="доходы" sheetId="1" r:id="rId1"/>
    <sheet name="расчет%" sheetId="2" r:id="rId2"/>
    <sheet name="тарификация " sheetId="3" r:id="rId3"/>
    <sheet name="штатное" sheetId="4" r:id="rId4"/>
    <sheet name="калькуляция " sheetId="5" r:id="rId5"/>
    <sheet name="тарификация 01.10" sheetId="6" r:id="rId6"/>
    <sheet name="штатное 01.10." sheetId="7" r:id="rId7"/>
    <sheet name="калькуляция 01.10." sheetId="8" r:id="rId8"/>
    <sheet name="смета " sheetId="9" r:id="rId9"/>
    <sheet name="зарплата справочно" sheetId="10" r:id="rId10"/>
    <sheet name="Лист1" sheetId="11" r:id="rId11"/>
  </sheets>
  <definedNames>
    <definedName name="_xlnm.Print_Titles" localSheetId="8">'смета '!$12:$13</definedName>
    <definedName name="_xlnm.Print_Area" localSheetId="0">'доходы'!$A$1:$G$41</definedName>
    <definedName name="_xlnm.Print_Area" localSheetId="4">'калькуляция '!$A$1:$AC$55</definedName>
    <definedName name="_xlnm.Print_Area" localSheetId="1">'расчет%'!$A$2:$I$75</definedName>
    <definedName name="_xlnm.Print_Area" localSheetId="2">'тарификация '!$A$1:$S$486</definedName>
    <definedName name="_xlnm.Print_Area" localSheetId="3">'штатное'!$A$1:$H$63</definedName>
  </definedNames>
  <calcPr fullCalcOnLoad="1" fullPrecision="0"/>
</workbook>
</file>

<file path=xl/sharedStrings.xml><?xml version="1.0" encoding="utf-8"?>
<sst xmlns="http://schemas.openxmlformats.org/spreadsheetml/2006/main" count="2354" uniqueCount="272">
  <si>
    <t>Педагогический персонал</t>
  </si>
  <si>
    <t>№п/п</t>
  </si>
  <si>
    <t>Ф.И.О</t>
  </si>
  <si>
    <t>Услуга</t>
  </si>
  <si>
    <t>Классы</t>
  </si>
  <si>
    <t>Кол-во</t>
  </si>
  <si>
    <t>д/дни</t>
  </si>
  <si>
    <t>Кол-во ч.</t>
  </si>
  <si>
    <t>Должность</t>
  </si>
  <si>
    <t>ПОУ</t>
  </si>
  <si>
    <t>Утверждаю:</t>
  </si>
  <si>
    <t>Д МЗ</t>
  </si>
  <si>
    <t>КР</t>
  </si>
  <si>
    <t>Расчет на 1 месяц</t>
  </si>
  <si>
    <t>Сумма дохода с коэф. 0,8</t>
  </si>
  <si>
    <t>услуги связи,интернет</t>
  </si>
  <si>
    <t>Предоставляемые ПДОУ</t>
  </si>
  <si>
    <t>Наименование расходов</t>
  </si>
  <si>
    <t>КЭС</t>
  </si>
  <si>
    <t>Прямые затраты ПЗ=ОЗП+НЗП+МЗ</t>
  </si>
  <si>
    <t>Начисления на з\плату НЗП</t>
  </si>
  <si>
    <t xml:space="preserve">Премиальный фонд </t>
  </si>
  <si>
    <t>Начисления на премиальный фонд</t>
  </si>
  <si>
    <t>Компенсация за отпуск</t>
  </si>
  <si>
    <t>Начисления на компенсацию за отпуск</t>
  </si>
  <si>
    <t>Итого ПЗ</t>
  </si>
  <si>
    <t>Накладные расходы НЗ= УС+ТР+КП+АО+РСИ</t>
  </si>
  <si>
    <t>Услуги связи УС</t>
  </si>
  <si>
    <t>Транспортные расходы ТР</t>
  </si>
  <si>
    <t>Коммунальные платежи КП</t>
  </si>
  <si>
    <t>Амортизационные отчисления по имуществу АО</t>
  </si>
  <si>
    <t>Итого НЗ</t>
  </si>
  <si>
    <t>Общехозяйственные расходы ОБХР=ЗПАУП+АО+ОУ+ПЗ</t>
  </si>
  <si>
    <t>Начисления на З\плату МОП</t>
  </si>
  <si>
    <t>Амортизация инвентаря АО</t>
  </si>
  <si>
    <t>Итого ОБХР</t>
  </si>
  <si>
    <t>Итого СБ себестоимость услуги</t>
  </si>
  <si>
    <t>Итого ОСУ общая стоимость услуги</t>
  </si>
  <si>
    <t>Планируемая численность обучающихся</t>
  </si>
  <si>
    <t>Планируемая стоимость услуги 100 %</t>
  </si>
  <si>
    <t>Планируемая численность обучающихся 50%</t>
  </si>
  <si>
    <t>Планируемая стоимость услуги 50%</t>
  </si>
  <si>
    <t>Итого планируемая стоимость услуги</t>
  </si>
  <si>
    <t>Количество занятий в месяц</t>
  </si>
  <si>
    <t>Цена услуги ЦУ=ОСУ/чел</t>
  </si>
  <si>
    <t xml:space="preserve">кол-во потребителей </t>
  </si>
  <si>
    <t>Цена</t>
  </si>
  <si>
    <t>итого в мес.</t>
  </si>
  <si>
    <t>стоимость 1 часа.</t>
  </si>
  <si>
    <t>итого</t>
  </si>
  <si>
    <t>Ур/к</t>
  </si>
  <si>
    <t>итого с ур.к.</t>
  </si>
  <si>
    <t>ПДО</t>
  </si>
  <si>
    <t>ИТОГО</t>
  </si>
  <si>
    <t>Кол-во детей</t>
  </si>
  <si>
    <t>Прочий персонал</t>
  </si>
  <si>
    <t>СООТНОШЕНИЕ %</t>
  </si>
  <si>
    <t>% соотношение доля расходов</t>
  </si>
  <si>
    <t>Зарплата педагога ОЗП</t>
  </si>
  <si>
    <t>Компенсация за отпуск ОЗП</t>
  </si>
  <si>
    <t>Материальные запасы МЗ</t>
  </si>
  <si>
    <t>Нормативный оклад согласно положению</t>
  </si>
  <si>
    <t>Итог базовый оклад</t>
  </si>
  <si>
    <t>Стоимость 1 часа норма</t>
  </si>
  <si>
    <t>оклад</t>
  </si>
  <si>
    <t>ПК</t>
  </si>
  <si>
    <t>итого оклад</t>
  </si>
  <si>
    <t>Норма д/дни</t>
  </si>
  <si>
    <t>СМЕТА ДОХОДОВ И РАСХОДОВ</t>
  </si>
  <si>
    <t>по платным образовательным услугам</t>
  </si>
  <si>
    <t>ДОХОДНАЯ ЧАСТЬ</t>
  </si>
  <si>
    <t>№ п/п</t>
  </si>
  <si>
    <t>Наименование единиц показателей измерения</t>
  </si>
  <si>
    <t>Стоимость всего (руб.)</t>
  </si>
  <si>
    <t>Итого</t>
  </si>
  <si>
    <t>РАСХОДНАЯ ЧАСТЬ</t>
  </si>
  <si>
    <t>Наименование статей расходов (затрат)</t>
  </si>
  <si>
    <t>КОСГУ</t>
  </si>
  <si>
    <t>Сумма (руб.)</t>
  </si>
  <si>
    <t xml:space="preserve"> </t>
  </si>
  <si>
    <t xml:space="preserve">З\плата МОП </t>
  </si>
  <si>
    <t xml:space="preserve">Услуги ЦБ </t>
  </si>
  <si>
    <t xml:space="preserve">Итого </t>
  </si>
  <si>
    <t xml:space="preserve">Планируемая прибыль </t>
  </si>
  <si>
    <t>Наименование расхода*</t>
  </si>
  <si>
    <t>месяцев</t>
  </si>
  <si>
    <t>Налог на имущество</t>
  </si>
  <si>
    <t>Утверждено:</t>
  </si>
  <si>
    <t xml:space="preserve">Платные образовательные услуги </t>
  </si>
  <si>
    <t>Наименование услуги</t>
  </si>
  <si>
    <t>кол-во потребителей</t>
  </si>
  <si>
    <t>цена</t>
  </si>
  <si>
    <t>период предоставления услуги</t>
  </si>
  <si>
    <t>кол-во месяцев</t>
  </si>
  <si>
    <t>Рентабельность</t>
  </si>
  <si>
    <t>Планируемая прибыль (убыток)</t>
  </si>
  <si>
    <t xml:space="preserve">Тарификационный список </t>
  </si>
  <si>
    <t>коммунальные услуги</t>
  </si>
  <si>
    <t>2</t>
  </si>
  <si>
    <t>квалификационная ктегория</t>
  </si>
  <si>
    <t>3</t>
  </si>
  <si>
    <t>4</t>
  </si>
  <si>
    <t>услуга 13</t>
  </si>
  <si>
    <t>услуга 14</t>
  </si>
  <si>
    <t>услуга 15</t>
  </si>
  <si>
    <t>услуга 16</t>
  </si>
  <si>
    <t>услуга 17</t>
  </si>
  <si>
    <t>услуга 18</t>
  </si>
  <si>
    <t>услуга 19</t>
  </si>
  <si>
    <t>услуга 20</t>
  </si>
  <si>
    <t>услуга 21</t>
  </si>
  <si>
    <t>услуга 22</t>
  </si>
  <si>
    <t>услуга 23</t>
  </si>
  <si>
    <t>услуга 24</t>
  </si>
  <si>
    <t>услуга 25</t>
  </si>
  <si>
    <t>услуга 26</t>
  </si>
  <si>
    <t>для контроля</t>
  </si>
  <si>
    <t>работа в гимназии, ОУ с углублен.</t>
  </si>
  <si>
    <t>Иванова М.П.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</si>
  <si>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</si>
  <si>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</si>
  <si>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</si>
  <si>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</si>
  <si>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</si>
  <si>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</si>
  <si>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</si>
  <si>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</si>
  <si>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</si>
  <si>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</si>
  <si>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</si>
  <si>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</si>
  <si>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</si>
  <si>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</si>
  <si>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</si>
  <si>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</si>
  <si>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</si>
  <si>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</si>
  <si>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</si>
  <si>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</si>
  <si>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</si>
  <si>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</si>
  <si>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целевой ориентир 60%</t>
  </si>
  <si>
    <t>должность 4</t>
  </si>
  <si>
    <t>должность 5</t>
  </si>
  <si>
    <t>должность 6</t>
  </si>
  <si>
    <t>должность 7</t>
  </si>
  <si>
    <t>должность 8</t>
  </si>
  <si>
    <t>должность 9</t>
  </si>
  <si>
    <t>должность 10</t>
  </si>
  <si>
    <t>Заработная плата УВП, АУП, МОП</t>
  </si>
  <si>
    <t>Начисления на з\плату АУП, МОП</t>
  </si>
  <si>
    <t>услуга</t>
  </si>
  <si>
    <t>ФОТ</t>
  </si>
  <si>
    <t>часы</t>
  </si>
  <si>
    <t>стоимость чел/час</t>
  </si>
  <si>
    <t>Налог на землю</t>
  </si>
  <si>
    <t>содержание имущества</t>
  </si>
  <si>
    <t>прочие услуги</t>
  </si>
  <si>
    <t>Прочие услуги</t>
  </si>
  <si>
    <t>Содержание имущества РСИ</t>
  </si>
  <si>
    <t>Унифицированная форма № Т-3</t>
  </si>
  <si>
    <t>Утверждена постановлением Гомкомстата</t>
  </si>
  <si>
    <t>Код</t>
  </si>
  <si>
    <t>Форма по ОКУД</t>
  </si>
  <si>
    <t>ОКПО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</si>
  <si>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</si>
  <si>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</si>
  <si>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</si>
  <si>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</si>
  <si>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</t>
  </si>
  <si>
    <t xml:space="preserve">Штат в количестве      </t>
  </si>
  <si>
    <t>единиц</t>
  </si>
  <si>
    <t>Наименование должностей</t>
  </si>
  <si>
    <t>Примечание</t>
  </si>
  <si>
    <t>Стимулирующая часть</t>
  </si>
  <si>
    <t>Компенсация за неиспользованный отпуск</t>
  </si>
  <si>
    <t>Уральский коэффициент</t>
  </si>
  <si>
    <t>Итого ФОТ</t>
  </si>
  <si>
    <t>Итого ФОТ с начислениями</t>
  </si>
  <si>
    <t>Д/Дни норма в неделю</t>
  </si>
  <si>
    <t>Педагог дополнительного образования</t>
  </si>
  <si>
    <t>Диспетчер образовательного учреждения</t>
  </si>
  <si>
    <t xml:space="preserve">КАЛЬКУЛЯЦИЯ </t>
  </si>
  <si>
    <t>Ремонт</t>
  </si>
  <si>
    <t>Каневская А.В</t>
  </si>
  <si>
    <t>не более 20%</t>
  </si>
  <si>
    <t>Количество штатных единиц</t>
  </si>
  <si>
    <t>Должностной оклад</t>
  </si>
  <si>
    <t>Компенсационные выплаты</t>
  </si>
  <si>
    <t>Всего в месяц</t>
  </si>
  <si>
    <t>Норма детей в классе</t>
  </si>
  <si>
    <t>Норма часов в неделю</t>
  </si>
  <si>
    <t xml:space="preserve">Сумма </t>
  </si>
  <si>
    <r>
      <t xml:space="preserve">На основании Распоряжения Департамента образования Администрации города Екатеринбурга от 29.11.2019 года № 2843/46/36 "Об утверждении коэффициента платной деятельности на 2020 год"  </t>
    </r>
    <r>
      <rPr>
        <b/>
        <sz val="11"/>
        <color indexed="8"/>
        <rFont val="Liberation Serif"/>
        <family val="1"/>
      </rPr>
      <t>Утвержденный КПД</t>
    </r>
  </si>
  <si>
    <t xml:space="preserve">Расчет расходов на содержание зданий и сооружений </t>
  </si>
  <si>
    <t>Персональный коэффициент за категорию (1)</t>
  </si>
  <si>
    <t>ИТОГО ФОТ с 01.01.2020 ПЕДАГОГИ</t>
  </si>
  <si>
    <t>ИТОГО ФОТ с 01.01.2020 ПРОЧИЕ</t>
  </si>
  <si>
    <t>ИТОГО ФОТ с 01.01.2020 ПРОЧИЕ 1.2 статья</t>
  </si>
  <si>
    <t>ИТОГО ФОТ Педагоги,прочие с 01.01.2020</t>
  </si>
  <si>
    <t>Премиальный фонд 0% с 01.01.2020</t>
  </si>
  <si>
    <t>Компенсация за отпуск с 01.01.2020</t>
  </si>
  <si>
    <t>ИТОГО ФОТ с 01.01.2020</t>
  </si>
  <si>
    <t>ИТОГО ФОТ с 01.01.2020  1.2 статья</t>
  </si>
  <si>
    <t>Всего доход по ПОУ с 01.01.2020</t>
  </si>
  <si>
    <t>1 квартал 2020</t>
  </si>
  <si>
    <t>2 квартал 2020</t>
  </si>
  <si>
    <t>3 квартал 2020</t>
  </si>
  <si>
    <t>4 квартал 2020</t>
  </si>
  <si>
    <t>с 01.10.2020 г.</t>
  </si>
  <si>
    <t>Заведующий</t>
  </si>
  <si>
    <t xml:space="preserve">Заведующий </t>
  </si>
  <si>
    <t>01.09.2020 - 31.12.2020</t>
  </si>
  <si>
    <t>корректирующий коэф.</t>
  </si>
  <si>
    <t>Нагрузка</t>
  </si>
  <si>
    <t>Оклад</t>
  </si>
  <si>
    <t>Оклад с учетом нагрузки</t>
  </si>
  <si>
    <t>01.10.2020 - 31.12.2020</t>
  </si>
  <si>
    <t>=</t>
  </si>
  <si>
    <t>с 01 октября 2020г.</t>
  </si>
  <si>
    <t>МАДОУ -  детский сад № 395</t>
  </si>
  <si>
    <t>Л.А.Меденникова</t>
  </si>
  <si>
    <t>Творческая студия</t>
  </si>
  <si>
    <t>Услуга логопедической помощи</t>
  </si>
  <si>
    <t>Мультстудия</t>
  </si>
  <si>
    <t>01.01.2020 - 31.03.2020</t>
  </si>
  <si>
    <t>МАДОУ - детский сад № 395</t>
  </si>
  <si>
    <t>Танцевальная студия - 1</t>
  </si>
  <si>
    <t>Танцевальная студия - 2</t>
  </si>
  <si>
    <t>от 28.09.2020                                   № 135</t>
  </si>
  <si>
    <t>от 28.09.2020                                   №135</t>
  </si>
  <si>
    <t>Сыроешкина Т.Л.</t>
  </si>
  <si>
    <t>Поединкова Н.М.</t>
  </si>
  <si>
    <t>Старцева С.А.</t>
  </si>
  <si>
    <t>Краснова Д.П.</t>
  </si>
  <si>
    <t>с 01 января по 31 марта 2020 года и с 01 октября по 31 декабря 2021 года</t>
  </si>
  <si>
    <t>Творческая студия "Акварелька"</t>
  </si>
  <si>
    <t>01.10.2021 - 31.12.2021</t>
  </si>
  <si>
    <t>Творческая студия "Акварелька"-1</t>
  </si>
  <si>
    <t>Студия конструирования "Йохокуб"</t>
  </si>
  <si>
    <t>С 01.10.2021-31.12.2021</t>
  </si>
  <si>
    <t>с 01.10.2021г.</t>
  </si>
  <si>
    <t>2021 год</t>
  </si>
  <si>
    <t>с 01.01.2021 г.</t>
  </si>
  <si>
    <t>Чекмарева Г.Н</t>
  </si>
  <si>
    <t>ИТОГО ФОТ с 01.01.2021 ПЕДАГОГИ 1.2 статья</t>
  </si>
  <si>
    <t>Роденко С.В.</t>
  </si>
  <si>
    <t>Студия конструирования</t>
  </si>
  <si>
    <t>Зейналова В.Б</t>
  </si>
  <si>
    <t>с 01.01.2021г.</t>
  </si>
  <si>
    <t>с 01 января 2021г.</t>
  </si>
  <si>
    <t>15.01.2021г.</t>
  </si>
  <si>
    <t>Цена платной образовательной услуги  01.01.2021 - 31.03.2021 г.г.</t>
  </si>
  <si>
    <t>с 01.10.2021 г.</t>
  </si>
  <si>
    <t>Творческая студия-1</t>
  </si>
  <si>
    <t>01. 10.2021г.</t>
  </si>
  <si>
    <t>Цена платной образовательной услуги  01.10.2021 - 31.12.2021 г.г.</t>
  </si>
  <si>
    <t>с 01 января по 31 декабря 2021 года</t>
  </si>
  <si>
    <t>Творческая студия-2</t>
  </si>
  <si>
    <t>С 01.01.2021-31.03.2021</t>
  </si>
  <si>
    <t>01.01.2021 - 31.03.2021</t>
  </si>
  <si>
    <t>Услуги ЦБ</t>
  </si>
  <si>
    <t>ИТОГО ФОТ с 01.10.2021 ПЕДАГОГИ</t>
  </si>
  <si>
    <t>ИТОГО ФОТ с 01.10.2021 ПЕДАГОГИ 1.2 статья</t>
  </si>
  <si>
    <t>ИТОГО ФОТ с 01.10.2021 ПРОЧИЕ</t>
  </si>
  <si>
    <t>ИТОГО ФОТ с 01.10.2021 ПРОЧИЕ 1.2 статья</t>
  </si>
  <si>
    <t>ИТОГО ФОТ Педагоги,прочие с 01.10.2021</t>
  </si>
  <si>
    <t>Премиальный фонд 0% с 01.10.2021</t>
  </si>
  <si>
    <t>Компенсация за отпуск с 01.10.2021</t>
  </si>
  <si>
    <t>ИТОГО ФОТ с 01.10.2021</t>
  </si>
  <si>
    <t>ИТОГО ФОТ с 01.10.2021 1.2 статья</t>
  </si>
  <si>
    <t>Всего доход по ПОУ с 01.10.2021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</si>
</sst>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0.00000"/>
    <numFmt numFmtId="178" formatCode="0.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#,##0.000"/>
    <numFmt numFmtId="186" formatCode="#,##0.0000"/>
    <numFmt numFmtId="187" formatCode="#,##0.00000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1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sz val="8"/>
      <name val="Liberation Serif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color indexed="9"/>
      <name val="Liberation Serif"/>
      <family val="1"/>
    </font>
    <font>
      <u val="single"/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  <font>
      <sz val="10"/>
      <color theme="0"/>
      <name val="Liberation Serif"/>
      <family val="1"/>
    </font>
    <font>
      <u val="single"/>
      <sz val="12"/>
      <color theme="1"/>
      <name val="Liberation Serif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33" borderId="10" xfId="54" applyFont="1" applyFill="1" applyBorder="1">
      <alignment/>
      <protection/>
    </xf>
    <xf numFmtId="0" fontId="2" fillId="0" borderId="11" xfId="54" applyFont="1" applyFill="1" applyBorder="1" applyAlignment="1">
      <alignment horizontal="center"/>
      <protection/>
    </xf>
    <xf numFmtId="0" fontId="56" fillId="0" borderId="12" xfId="0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4" fontId="56" fillId="0" borderId="12" xfId="0" applyNumberFormat="1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1" fontId="56" fillId="0" borderId="12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4" fontId="56" fillId="0" borderId="20" xfId="0" applyNumberFormat="1" applyFont="1" applyFill="1" applyBorder="1" applyAlignment="1">
      <alignment/>
    </xf>
    <xf numFmtId="4" fontId="56" fillId="0" borderId="14" xfId="0" applyNumberFormat="1" applyFont="1" applyFill="1" applyBorder="1" applyAlignment="1">
      <alignment/>
    </xf>
    <xf numFmtId="0" fontId="56" fillId="0" borderId="14" xfId="0" applyFont="1" applyFill="1" applyBorder="1" applyAlignment="1">
      <alignment/>
    </xf>
    <xf numFmtId="1" fontId="56" fillId="0" borderId="14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53" applyFont="1">
      <alignment/>
      <protection/>
    </xf>
    <xf numFmtId="0" fontId="56" fillId="0" borderId="14" xfId="0" applyFont="1" applyFill="1" applyBorder="1" applyAlignment="1">
      <alignment horizontal="center"/>
    </xf>
    <xf numFmtId="0" fontId="7" fillId="0" borderId="0" xfId="54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9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2" fontId="7" fillId="0" borderId="28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wrapText="1"/>
    </xf>
    <xf numFmtId="9" fontId="2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45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>
      <alignment/>
      <protection/>
    </xf>
    <xf numFmtId="0" fontId="7" fillId="0" borderId="46" xfId="54" applyFont="1" applyFill="1" applyBorder="1" applyAlignment="1">
      <alignment horizontal="center" vertical="center"/>
      <protection/>
    </xf>
    <xf numFmtId="0" fontId="7" fillId="0" borderId="47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48" xfId="54" applyFont="1" applyFill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 wrapText="1"/>
      <protection/>
    </xf>
    <xf numFmtId="0" fontId="7" fillId="0" borderId="49" xfId="54" applyFont="1" applyFill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>
      <alignment/>
      <protection/>
    </xf>
    <xf numFmtId="4" fontId="7" fillId="0" borderId="46" xfId="54" applyNumberFormat="1" applyFont="1" applyFill="1" applyBorder="1" applyAlignment="1">
      <alignment horizontal="center" vertical="center" wrapText="1"/>
      <protection/>
    </xf>
    <xf numFmtId="4" fontId="7" fillId="0" borderId="50" xfId="54" applyNumberFormat="1" applyFont="1" applyFill="1" applyBorder="1" applyAlignment="1">
      <alignment horizontal="center" vertical="center" wrapText="1"/>
      <protection/>
    </xf>
    <xf numFmtId="4" fontId="7" fillId="0" borderId="15" xfId="54" applyNumberFormat="1" applyFont="1" applyFill="1" applyBorder="1" applyAlignment="1">
      <alignment horizontal="center" vertical="center" wrapText="1"/>
      <protection/>
    </xf>
    <xf numFmtId="4" fontId="7" fillId="0" borderId="51" xfId="54" applyNumberFormat="1" applyFont="1" applyFill="1" applyBorder="1" applyAlignment="1">
      <alignment horizontal="center" vertical="center" wrapText="1"/>
      <protection/>
    </xf>
    <xf numFmtId="4" fontId="7" fillId="0" borderId="52" xfId="54" applyNumberFormat="1" applyFont="1" applyFill="1" applyBorder="1" applyAlignment="1">
      <alignment horizontal="center" vertical="center" wrapText="1"/>
      <protection/>
    </xf>
    <xf numFmtId="4" fontId="7" fillId="0" borderId="46" xfId="54" applyNumberFormat="1" applyFont="1" applyFill="1" applyBorder="1" applyAlignment="1">
      <alignment horizontal="center"/>
      <protection/>
    </xf>
    <xf numFmtId="0" fontId="7" fillId="0" borderId="53" xfId="54" applyFont="1" applyFill="1" applyBorder="1">
      <alignment/>
      <protection/>
    </xf>
    <xf numFmtId="0" fontId="2" fillId="0" borderId="54" xfId="54" applyFont="1" applyFill="1" applyBorder="1">
      <alignment/>
      <protection/>
    </xf>
    <xf numFmtId="4" fontId="2" fillId="0" borderId="55" xfId="54" applyNumberFormat="1" applyFont="1" applyFill="1" applyBorder="1">
      <alignment/>
      <protection/>
    </xf>
    <xf numFmtId="4" fontId="2" fillId="0" borderId="56" xfId="54" applyNumberFormat="1" applyFont="1" applyFill="1" applyBorder="1">
      <alignment/>
      <protection/>
    </xf>
    <xf numFmtId="4" fontId="2" fillId="0" borderId="40" xfId="54" applyNumberFormat="1" applyFont="1" applyFill="1" applyBorder="1">
      <alignment/>
      <protection/>
    </xf>
    <xf numFmtId="4" fontId="2" fillId="0" borderId="57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4" fontId="2" fillId="0" borderId="58" xfId="54" applyNumberFormat="1" applyFont="1" applyFill="1" applyBorder="1">
      <alignment/>
      <protection/>
    </xf>
    <xf numFmtId="4" fontId="2" fillId="0" borderId="59" xfId="54" applyNumberFormat="1" applyFont="1" applyFill="1" applyBorder="1">
      <alignment/>
      <protection/>
    </xf>
    <xf numFmtId="4" fontId="2" fillId="0" borderId="41" xfId="54" applyNumberFormat="1" applyFont="1" applyFill="1" applyBorder="1">
      <alignment/>
      <protection/>
    </xf>
    <xf numFmtId="4" fontId="2" fillId="0" borderId="0" xfId="0" applyNumberFormat="1" applyFont="1" applyFill="1" applyAlignment="1">
      <alignment/>
    </xf>
    <xf numFmtId="0" fontId="2" fillId="0" borderId="60" xfId="54" applyFont="1" applyFill="1" applyBorder="1">
      <alignment/>
      <protection/>
    </xf>
    <xf numFmtId="0" fontId="2" fillId="0" borderId="60" xfId="54" applyFont="1" applyFill="1" applyBorder="1" applyAlignment="1">
      <alignment horizontal="center"/>
      <protection/>
    </xf>
    <xf numFmtId="0" fontId="2" fillId="0" borderId="42" xfId="54" applyFont="1" applyFill="1" applyBorder="1">
      <alignment/>
      <protection/>
    </xf>
    <xf numFmtId="0" fontId="2" fillId="0" borderId="42" xfId="54" applyFont="1" applyFill="1" applyBorder="1" applyAlignment="1">
      <alignment horizontal="center"/>
      <protection/>
    </xf>
    <xf numFmtId="0" fontId="7" fillId="0" borderId="47" xfId="54" applyFont="1" applyFill="1" applyBorder="1" applyAlignment="1">
      <alignment horizontal="center"/>
      <protection/>
    </xf>
    <xf numFmtId="4" fontId="7" fillId="0" borderId="46" xfId="54" applyNumberFormat="1" applyFont="1" applyFill="1" applyBorder="1">
      <alignment/>
      <protection/>
    </xf>
    <xf numFmtId="4" fontId="7" fillId="0" borderId="50" xfId="54" applyNumberFormat="1" applyFont="1" applyFill="1" applyBorder="1">
      <alignment/>
      <protection/>
    </xf>
    <xf numFmtId="4" fontId="7" fillId="0" borderId="52" xfId="54" applyNumberFormat="1" applyFont="1" applyFill="1" applyBorder="1">
      <alignment/>
      <protection/>
    </xf>
    <xf numFmtId="0" fontId="7" fillId="0" borderId="53" xfId="54" applyFont="1" applyFill="1" applyBorder="1" applyAlignment="1">
      <alignment vertical="top" wrapText="1"/>
      <protection/>
    </xf>
    <xf numFmtId="0" fontId="2" fillId="0" borderId="53" xfId="54" applyFont="1" applyFill="1" applyBorder="1" applyAlignment="1">
      <alignment horizontal="center"/>
      <protection/>
    </xf>
    <xf numFmtId="0" fontId="7" fillId="0" borderId="10" xfId="54" applyFont="1" applyFill="1" applyBorder="1">
      <alignment/>
      <protection/>
    </xf>
    <xf numFmtId="0" fontId="2" fillId="0" borderId="11" xfId="54" applyFont="1" applyFill="1" applyBorder="1" applyAlignment="1">
      <alignment vertical="top" wrapText="1"/>
      <protection/>
    </xf>
    <xf numFmtId="0" fontId="2" fillId="0" borderId="43" xfId="54" applyFont="1" applyFill="1" applyBorder="1">
      <alignment/>
      <protection/>
    </xf>
    <xf numFmtId="0" fontId="2" fillId="0" borderId="43" xfId="54" applyFont="1" applyFill="1" applyBorder="1" applyAlignment="1">
      <alignment horizontal="center"/>
      <protection/>
    </xf>
    <xf numFmtId="4" fontId="2" fillId="0" borderId="61" xfId="54" applyNumberFormat="1" applyFont="1" applyFill="1" applyBorder="1">
      <alignment/>
      <protection/>
    </xf>
    <xf numFmtId="4" fontId="2" fillId="0" borderId="44" xfId="54" applyNumberFormat="1" applyFont="1" applyFill="1" applyBorder="1">
      <alignment/>
      <protection/>
    </xf>
    <xf numFmtId="4" fontId="2" fillId="0" borderId="62" xfId="54" applyNumberFormat="1" applyFont="1" applyFill="1" applyBorder="1">
      <alignment/>
      <protection/>
    </xf>
    <xf numFmtId="0" fontId="7" fillId="0" borderId="50" xfId="54" applyFont="1" applyFill="1" applyBorder="1">
      <alignment/>
      <protection/>
    </xf>
    <xf numFmtId="0" fontId="7" fillId="0" borderId="63" xfId="54" applyFont="1" applyFill="1" applyBorder="1">
      <alignment/>
      <protection/>
    </xf>
    <xf numFmtId="0" fontId="7" fillId="0" borderId="64" xfId="54" applyFont="1" applyFill="1" applyBorder="1">
      <alignment/>
      <protection/>
    </xf>
    <xf numFmtId="4" fontId="7" fillId="0" borderId="21" xfId="54" applyNumberFormat="1" applyFont="1" applyFill="1" applyBorder="1">
      <alignment/>
      <protection/>
    </xf>
    <xf numFmtId="4" fontId="7" fillId="0" borderId="48" xfId="54" applyNumberFormat="1" applyFont="1" applyFill="1" applyBorder="1">
      <alignment/>
      <protection/>
    </xf>
    <xf numFmtId="4" fontId="7" fillId="0" borderId="28" xfId="54" applyNumberFormat="1" applyFont="1" applyFill="1" applyBorder="1">
      <alignment/>
      <protection/>
    </xf>
    <xf numFmtId="0" fontId="2" fillId="0" borderId="65" xfId="54" applyFont="1" applyFill="1" applyBorder="1">
      <alignment/>
      <protection/>
    </xf>
    <xf numFmtId="0" fontId="2" fillId="0" borderId="59" xfId="54" applyFont="1" applyFill="1" applyBorder="1">
      <alignment/>
      <protection/>
    </xf>
    <xf numFmtId="4" fontId="2" fillId="0" borderId="66" xfId="54" applyNumberFormat="1" applyFont="1" applyFill="1" applyBorder="1">
      <alignment/>
      <protection/>
    </xf>
    <xf numFmtId="4" fontId="2" fillId="0" borderId="65" xfId="54" applyNumberFormat="1" applyFont="1" applyFill="1" applyBorder="1">
      <alignment/>
      <protection/>
    </xf>
    <xf numFmtId="4" fontId="2" fillId="0" borderId="12" xfId="54" applyNumberFormat="1" applyFont="1" applyFill="1" applyBorder="1">
      <alignment/>
      <protection/>
    </xf>
    <xf numFmtId="0" fontId="2" fillId="0" borderId="67" xfId="54" applyFont="1" applyFill="1" applyBorder="1">
      <alignment/>
      <protection/>
    </xf>
    <xf numFmtId="0" fontId="2" fillId="0" borderId="68" xfId="54" applyFont="1" applyFill="1" applyBorder="1">
      <alignment/>
      <protection/>
    </xf>
    <xf numFmtId="4" fontId="2" fillId="0" borderId="69" xfId="54" applyNumberFormat="1" applyFont="1" applyFill="1" applyBorder="1">
      <alignment/>
      <protection/>
    </xf>
    <xf numFmtId="4" fontId="2" fillId="0" borderId="67" xfId="54" applyNumberFormat="1" applyFont="1" applyFill="1" applyBorder="1">
      <alignment/>
      <protection/>
    </xf>
    <xf numFmtId="4" fontId="7" fillId="0" borderId="70" xfId="54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2" fillId="0" borderId="39" xfId="54" applyNumberFormat="1" applyFont="1" applyFill="1" applyBorder="1">
      <alignment/>
      <protection/>
    </xf>
    <xf numFmtId="0" fontId="2" fillId="0" borderId="71" xfId="54" applyFont="1" applyFill="1" applyBorder="1">
      <alignment/>
      <protection/>
    </xf>
    <xf numFmtId="2" fontId="2" fillId="0" borderId="64" xfId="54" applyNumberFormat="1" applyFont="1" applyFill="1" applyBorder="1">
      <alignment/>
      <protection/>
    </xf>
    <xf numFmtId="4" fontId="2" fillId="0" borderId="72" xfId="54" applyNumberFormat="1" applyFont="1" applyFill="1" applyBorder="1">
      <alignment/>
      <protection/>
    </xf>
    <xf numFmtId="4" fontId="2" fillId="0" borderId="73" xfId="54" applyNumberFormat="1" applyFont="1" applyFill="1" applyBorder="1">
      <alignment/>
      <protection/>
    </xf>
    <xf numFmtId="4" fontId="2" fillId="0" borderId="74" xfId="54" applyNumberFormat="1" applyFont="1" applyFill="1" applyBorder="1">
      <alignment/>
      <protection/>
    </xf>
    <xf numFmtId="4" fontId="2" fillId="0" borderId="31" xfId="54" applyNumberFormat="1" applyFont="1" applyFill="1" applyBorder="1">
      <alignment/>
      <protection/>
    </xf>
    <xf numFmtId="4" fontId="2" fillId="0" borderId="75" xfId="54" applyNumberFormat="1" applyFont="1" applyFill="1" applyBorder="1">
      <alignment/>
      <protection/>
    </xf>
    <xf numFmtId="2" fontId="2" fillId="0" borderId="59" xfId="54" applyNumberFormat="1" applyFont="1" applyFill="1" applyBorder="1">
      <alignment/>
      <protection/>
    </xf>
    <xf numFmtId="4" fontId="2" fillId="0" borderId="17" xfId="54" applyNumberFormat="1" applyFont="1" applyFill="1" applyBorder="1">
      <alignment/>
      <protection/>
    </xf>
    <xf numFmtId="4" fontId="2" fillId="0" borderId="42" xfId="54" applyNumberFormat="1" applyFont="1" applyFill="1" applyBorder="1">
      <alignment/>
      <protection/>
    </xf>
    <xf numFmtId="0" fontId="2" fillId="0" borderId="76" xfId="54" applyFont="1" applyFill="1" applyBorder="1">
      <alignment/>
      <protection/>
    </xf>
    <xf numFmtId="4" fontId="2" fillId="0" borderId="77" xfId="54" applyNumberFormat="1" applyFont="1" applyFill="1" applyBorder="1">
      <alignment/>
      <protection/>
    </xf>
    <xf numFmtId="4" fontId="2" fillId="0" borderId="78" xfId="54" applyNumberFormat="1" applyFont="1" applyFill="1" applyBorder="1">
      <alignment/>
      <protection/>
    </xf>
    <xf numFmtId="4" fontId="2" fillId="0" borderId="79" xfId="54" applyNumberFormat="1" applyFont="1" applyFill="1" applyBorder="1">
      <alignment/>
      <protection/>
    </xf>
    <xf numFmtId="4" fontId="2" fillId="0" borderId="80" xfId="54" applyNumberFormat="1" applyFont="1" applyFill="1" applyBorder="1">
      <alignment/>
      <protection/>
    </xf>
    <xf numFmtId="4" fontId="2" fillId="0" borderId="68" xfId="54" applyNumberFormat="1" applyFont="1" applyFill="1" applyBorder="1">
      <alignment/>
      <protection/>
    </xf>
    <xf numFmtId="4" fontId="7" fillId="0" borderId="81" xfId="54" applyNumberFormat="1" applyFont="1" applyFill="1" applyBorder="1">
      <alignment/>
      <protection/>
    </xf>
    <xf numFmtId="4" fontId="7" fillId="0" borderId="51" xfId="54" applyNumberFormat="1" applyFont="1" applyFill="1" applyBorder="1">
      <alignment/>
      <protection/>
    </xf>
    <xf numFmtId="4" fontId="7" fillId="0" borderId="14" xfId="54" applyNumberFormat="1" applyFont="1" applyFill="1" applyBorder="1">
      <alignment/>
      <protection/>
    </xf>
    <xf numFmtId="4" fontId="7" fillId="0" borderId="15" xfId="54" applyNumberFormat="1" applyFont="1" applyFill="1" applyBorder="1">
      <alignment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7" fillId="0" borderId="3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4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7" fillId="0" borderId="81" xfId="54" applyNumberFormat="1" applyFont="1" applyFill="1" applyBorder="1" applyAlignment="1">
      <alignment horizontal="center" vertical="center" wrapText="1"/>
      <protection/>
    </xf>
    <xf numFmtId="4" fontId="2" fillId="0" borderId="82" xfId="54" applyNumberFormat="1" applyFont="1" applyFill="1" applyBorder="1">
      <alignment/>
      <protection/>
    </xf>
    <xf numFmtId="4" fontId="7" fillId="0" borderId="35" xfId="54" applyNumberFormat="1" applyFont="1" applyFill="1" applyBorder="1">
      <alignment/>
      <protection/>
    </xf>
    <xf numFmtId="4" fontId="7" fillId="0" borderId="39" xfId="54" applyNumberFormat="1" applyFont="1" applyFill="1" applyBorder="1">
      <alignment/>
      <protection/>
    </xf>
    <xf numFmtId="4" fontId="2" fillId="0" borderId="64" xfId="54" applyNumberFormat="1" applyFont="1" applyFill="1" applyBorder="1">
      <alignment/>
      <protection/>
    </xf>
    <xf numFmtId="4" fontId="2" fillId="0" borderId="83" xfId="54" applyNumberFormat="1" applyFont="1" applyFill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0" applyFont="1" applyFill="1" applyAlignment="1">
      <alignment/>
    </xf>
    <xf numFmtId="4" fontId="2" fillId="0" borderId="0" xfId="53" applyNumberFormat="1" applyFont="1">
      <alignment/>
      <protection/>
    </xf>
    <xf numFmtId="0" fontId="7" fillId="0" borderId="0" xfId="53" applyFont="1" applyFill="1" applyAlignment="1">
      <alignment/>
      <protection/>
    </xf>
    <xf numFmtId="0" fontId="7" fillId="0" borderId="50" xfId="53" applyFont="1" applyBorder="1" applyAlignment="1">
      <alignment horizontal="center" vertical="center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/>
      <protection/>
    </xf>
    <xf numFmtId="0" fontId="7" fillId="0" borderId="57" xfId="53" applyFont="1" applyBorder="1" applyAlignment="1">
      <alignment horizontal="center"/>
      <protection/>
    </xf>
    <xf numFmtId="0" fontId="2" fillId="0" borderId="84" xfId="54" applyFont="1" applyFill="1" applyBorder="1">
      <alignment/>
      <protection/>
    </xf>
    <xf numFmtId="0" fontId="2" fillId="0" borderId="85" xfId="54" applyFont="1" applyFill="1" applyBorder="1" applyAlignment="1">
      <alignment horizontal="center"/>
      <protection/>
    </xf>
    <xf numFmtId="0" fontId="7" fillId="0" borderId="58" xfId="53" applyFont="1" applyBorder="1" applyAlignment="1">
      <alignment horizontal="center"/>
      <protection/>
    </xf>
    <xf numFmtId="0" fontId="2" fillId="0" borderId="86" xfId="54" applyFont="1" applyFill="1" applyBorder="1">
      <alignment/>
      <protection/>
    </xf>
    <xf numFmtId="0" fontId="2" fillId="0" borderId="87" xfId="54" applyFont="1" applyFill="1" applyBorder="1" applyAlignment="1">
      <alignment horizontal="center"/>
      <protection/>
    </xf>
    <xf numFmtId="0" fontId="2" fillId="33" borderId="84" xfId="54" applyFont="1" applyFill="1" applyBorder="1">
      <alignment/>
      <protection/>
    </xf>
    <xf numFmtId="0" fontId="2" fillId="33" borderId="86" xfId="54" applyFont="1" applyFill="1" applyBorder="1">
      <alignment/>
      <protection/>
    </xf>
    <xf numFmtId="0" fontId="2" fillId="33" borderId="41" xfId="54" applyFont="1" applyFill="1" applyBorder="1">
      <alignment/>
      <protection/>
    </xf>
    <xf numFmtId="0" fontId="7" fillId="0" borderId="61" xfId="53" applyFont="1" applyBorder="1" applyAlignment="1">
      <alignment horizontal="center"/>
      <protection/>
    </xf>
    <xf numFmtId="0" fontId="2" fillId="0" borderId="58" xfId="54" applyFont="1" applyFill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0" fontId="7" fillId="0" borderId="52" xfId="54" applyFont="1" applyFill="1" applyBorder="1">
      <alignment/>
      <protection/>
    </xf>
    <xf numFmtId="0" fontId="7" fillId="0" borderId="46" xfId="54" applyFont="1" applyFill="1" applyBorder="1">
      <alignment/>
      <protection/>
    </xf>
    <xf numFmtId="0" fontId="7" fillId="0" borderId="55" xfId="53" applyFont="1" applyBorder="1" applyAlignment="1">
      <alignment horizontal="center"/>
      <protection/>
    </xf>
    <xf numFmtId="0" fontId="2" fillId="0" borderId="84" xfId="54" applyFont="1" applyFill="1" applyBorder="1" applyAlignment="1">
      <alignment vertical="top" wrapText="1"/>
      <protection/>
    </xf>
    <xf numFmtId="0" fontId="2" fillId="33" borderId="44" xfId="54" applyFont="1" applyFill="1" applyBorder="1">
      <alignment/>
      <protection/>
    </xf>
    <xf numFmtId="0" fontId="2" fillId="0" borderId="61" xfId="54" applyFont="1" applyFill="1" applyBorder="1" applyAlignment="1">
      <alignment horizontal="center"/>
      <protection/>
    </xf>
    <xf numFmtId="0" fontId="7" fillId="0" borderId="70" xfId="53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70" xfId="54" applyFont="1" applyFill="1" applyBorder="1">
      <alignment/>
      <protection/>
    </xf>
    <xf numFmtId="0" fontId="7" fillId="0" borderId="88" xfId="53" applyFont="1" applyBorder="1" applyAlignment="1">
      <alignment horizontal="center"/>
      <protection/>
    </xf>
    <xf numFmtId="2" fontId="2" fillId="0" borderId="0" xfId="0" applyNumberFormat="1" applyFont="1" applyAlignment="1">
      <alignment/>
    </xf>
    <xf numFmtId="0" fontId="2" fillId="0" borderId="10" xfId="54" applyFont="1" applyFill="1" applyBorder="1">
      <alignment/>
      <protection/>
    </xf>
    <xf numFmtId="0" fontId="5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40" xfId="0" applyFont="1" applyFill="1" applyBorder="1" applyAlignment="1">
      <alignment/>
    </xf>
    <xf numFmtId="0" fontId="62" fillId="0" borderId="0" xfId="0" applyFont="1" applyFill="1" applyAlignment="1">
      <alignment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/>
    </xf>
    <xf numFmtId="0" fontId="5" fillId="0" borderId="8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56" fillId="0" borderId="12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0" fontId="56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4" fontId="56" fillId="0" borderId="26" xfId="0" applyNumberFormat="1" applyFont="1" applyFill="1" applyBorder="1" applyAlignment="1">
      <alignment/>
    </xf>
    <xf numFmtId="0" fontId="56" fillId="0" borderId="26" xfId="0" applyFont="1" applyFill="1" applyBorder="1" applyAlignment="1">
      <alignment horizontal="center"/>
    </xf>
    <xf numFmtId="0" fontId="2" fillId="0" borderId="0" xfId="53" applyFont="1" applyFill="1">
      <alignment/>
      <protection/>
    </xf>
    <xf numFmtId="0" fontId="7" fillId="0" borderId="46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7" fillId="0" borderId="90" xfId="53" applyFont="1" applyFill="1" applyBorder="1" applyAlignment="1">
      <alignment horizontal="center" vertical="center" wrapText="1"/>
      <protection/>
    </xf>
    <xf numFmtId="4" fontId="2" fillId="0" borderId="26" xfId="53" applyNumberFormat="1" applyFont="1" applyFill="1" applyBorder="1" applyAlignment="1">
      <alignment horizontal="center" vertical="center"/>
      <protection/>
    </xf>
    <xf numFmtId="4" fontId="2" fillId="0" borderId="27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 applyFill="1">
      <alignment/>
      <protection/>
    </xf>
    <xf numFmtId="4" fontId="2" fillId="0" borderId="12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/>
      <protection/>
    </xf>
    <xf numFmtId="4" fontId="7" fillId="0" borderId="15" xfId="53" applyNumberFormat="1" applyFont="1" applyFill="1" applyBorder="1" applyAlignment="1">
      <alignment horizontal="center"/>
      <protection/>
    </xf>
    <xf numFmtId="4" fontId="7" fillId="0" borderId="0" xfId="53" applyNumberFormat="1" applyFont="1" applyFill="1">
      <alignment/>
      <protection/>
    </xf>
    <xf numFmtId="2" fontId="2" fillId="0" borderId="0" xfId="0" applyNumberFormat="1" applyFont="1" applyFill="1" applyAlignment="1">
      <alignment/>
    </xf>
    <xf numFmtId="185" fontId="2" fillId="0" borderId="2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0" borderId="4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4" fontId="2" fillId="0" borderId="19" xfId="54" applyNumberFormat="1" applyFont="1" applyFill="1" applyBorder="1">
      <alignment/>
      <protection/>
    </xf>
    <xf numFmtId="4" fontId="2" fillId="0" borderId="91" xfId="54" applyNumberFormat="1" applyFont="1" applyFill="1" applyBorder="1">
      <alignment/>
      <protection/>
    </xf>
    <xf numFmtId="0" fontId="2" fillId="0" borderId="92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center" vertical="center" wrapText="1"/>
    </xf>
    <xf numFmtId="4" fontId="2" fillId="0" borderId="9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2" fontId="2" fillId="0" borderId="28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9" fontId="2" fillId="34" borderId="26" xfId="0" applyNumberFormat="1" applyFont="1" applyFill="1" applyBorder="1" applyAlignment="1">
      <alignment horizontal="center" vertical="center"/>
    </xf>
    <xf numFmtId="185" fontId="2" fillId="34" borderId="26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/>
    </xf>
    <xf numFmtId="4" fontId="2" fillId="34" borderId="2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5" fillId="34" borderId="17" xfId="0" applyNumberFormat="1" applyFont="1" applyFill="1" applyBorder="1" applyAlignment="1">
      <alignment horizontal="right"/>
    </xf>
    <xf numFmtId="0" fontId="63" fillId="34" borderId="1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2" fontId="2" fillId="33" borderId="28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9" fontId="2" fillId="33" borderId="26" xfId="0" applyNumberFormat="1" applyFont="1" applyFill="1" applyBorder="1" applyAlignment="1">
      <alignment horizontal="center" vertical="center"/>
    </xf>
    <xf numFmtId="185" fontId="2" fillId="33" borderId="26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horizontal="right" vertical="center"/>
    </xf>
    <xf numFmtId="0" fontId="7" fillId="0" borderId="94" xfId="54" applyFont="1" applyFill="1" applyBorder="1" applyAlignment="1">
      <alignment horizontal="center"/>
      <protection/>
    </xf>
    <xf numFmtId="0" fontId="2" fillId="0" borderId="95" xfId="54" applyFont="1" applyFill="1" applyBorder="1">
      <alignment/>
      <protection/>
    </xf>
    <xf numFmtId="0" fontId="2" fillId="0" borderId="77" xfId="54" applyFont="1" applyFill="1" applyBorder="1" applyAlignment="1">
      <alignment horizontal="center"/>
      <protection/>
    </xf>
    <xf numFmtId="0" fontId="7" fillId="33" borderId="90" xfId="53" applyFont="1" applyFill="1" applyBorder="1" applyAlignment="1">
      <alignment horizontal="center" vertical="center" wrapText="1"/>
      <protection/>
    </xf>
    <xf numFmtId="4" fontId="2" fillId="33" borderId="26" xfId="0" applyNumberFormat="1" applyFont="1" applyFill="1" applyBorder="1" applyAlignment="1">
      <alignment horizontal="center"/>
    </xf>
    <xf numFmtId="4" fontId="2" fillId="33" borderId="26" xfId="53" applyNumberFormat="1" applyFont="1" applyFill="1" applyBorder="1" applyAlignment="1">
      <alignment horizontal="center" vertical="center"/>
      <protection/>
    </xf>
    <xf numFmtId="0" fontId="2" fillId="33" borderId="0" xfId="53" applyFont="1" applyFill="1">
      <alignment/>
      <protection/>
    </xf>
    <xf numFmtId="0" fontId="6" fillId="33" borderId="96" xfId="0" applyFont="1" applyFill="1" applyBorder="1" applyAlignment="1">
      <alignment horizontal="left"/>
    </xf>
    <xf numFmtId="0" fontId="6" fillId="33" borderId="82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56" fillId="0" borderId="2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4" fontId="56" fillId="0" borderId="30" xfId="0" applyNumberFormat="1" applyFont="1" applyFill="1" applyBorder="1" applyAlignment="1">
      <alignment horizontal="center" vertical="center"/>
    </xf>
    <xf numFmtId="4" fontId="56" fillId="0" borderId="26" xfId="0" applyNumberFormat="1" applyFont="1" applyFill="1" applyBorder="1" applyAlignment="1">
      <alignment horizontal="center" vertical="center"/>
    </xf>
    <xf numFmtId="4" fontId="56" fillId="0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left"/>
    </xf>
    <xf numFmtId="0" fontId="5" fillId="0" borderId="9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174" fontId="5" fillId="0" borderId="3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90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47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0" fontId="7" fillId="0" borderId="81" xfId="0" applyFont="1" applyFill="1" applyBorder="1" applyAlignment="1">
      <alignment horizontal="right"/>
    </xf>
    <xf numFmtId="0" fontId="7" fillId="0" borderId="94" xfId="0" applyFont="1" applyFill="1" applyBorder="1" applyAlignment="1">
      <alignment horizontal="right"/>
    </xf>
    <xf numFmtId="0" fontId="7" fillId="0" borderId="89" xfId="0" applyFont="1" applyFill="1" applyBorder="1" applyAlignment="1">
      <alignment horizontal="right"/>
    </xf>
    <xf numFmtId="0" fontId="7" fillId="0" borderId="97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6" xfId="0" applyFont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7" fillId="0" borderId="80" xfId="0" applyFont="1" applyBorder="1" applyAlignment="1">
      <alignment horizontal="right"/>
    </xf>
    <xf numFmtId="0" fontId="7" fillId="0" borderId="8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71" xfId="0" applyFont="1" applyBorder="1" applyAlignment="1">
      <alignment horizontal="right"/>
    </xf>
    <xf numFmtId="0" fontId="7" fillId="0" borderId="74" xfId="0" applyFont="1" applyBorder="1" applyAlignment="1">
      <alignment horizontal="right"/>
    </xf>
    <xf numFmtId="0" fontId="7" fillId="0" borderId="7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6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left"/>
      <protection/>
    </xf>
    <xf numFmtId="0" fontId="7" fillId="0" borderId="52" xfId="54" applyFont="1" applyFill="1" applyBorder="1" applyAlignment="1">
      <alignment horizontal="left"/>
      <protection/>
    </xf>
    <xf numFmtId="0" fontId="7" fillId="0" borderId="42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right"/>
    </xf>
    <xf numFmtId="0" fontId="7" fillId="0" borderId="83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63" xfId="53" applyFont="1" applyBorder="1" applyAlignment="1">
      <alignment horizontal="center" vertical="center"/>
      <protection/>
    </xf>
    <xf numFmtId="0" fontId="7" fillId="0" borderId="28" xfId="53" applyFont="1" applyBorder="1" applyAlignment="1">
      <alignment horizontal="center" vertical="center"/>
      <protection/>
    </xf>
    <xf numFmtId="0" fontId="7" fillId="0" borderId="48" xfId="53" applyFont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left"/>
      <protection/>
    </xf>
    <xf numFmtId="0" fontId="7" fillId="0" borderId="51" xfId="53" applyFont="1" applyFill="1" applyBorder="1" applyAlignment="1">
      <alignment horizontal="left"/>
      <protection/>
    </xf>
    <xf numFmtId="0" fontId="7" fillId="0" borderId="10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77" xfId="53" applyFont="1" applyBorder="1" applyAlignment="1">
      <alignment horizontal="center" vertical="center" wrapText="1"/>
      <protection/>
    </xf>
    <xf numFmtId="0" fontId="6" fillId="0" borderId="96" xfId="0" applyFont="1" applyFill="1" applyBorder="1" applyAlignment="1">
      <alignment horizontal="left"/>
    </xf>
    <xf numFmtId="0" fontId="6" fillId="33" borderId="96" xfId="0" applyFont="1" applyFill="1" applyBorder="1" applyAlignment="1">
      <alignment horizontal="left"/>
    </xf>
    <xf numFmtId="0" fontId="6" fillId="33" borderId="82" xfId="0" applyFont="1" applyFill="1" applyBorder="1" applyAlignment="1">
      <alignment horizontal="left"/>
    </xf>
    <xf numFmtId="0" fontId="7" fillId="0" borderId="0" xfId="53" applyFont="1" applyBorder="1" applyAlignment="1">
      <alignment horizontal="center" vertical="center"/>
      <protection/>
    </xf>
    <xf numFmtId="0" fontId="6" fillId="0" borderId="65" xfId="0" applyFont="1" applyFill="1" applyBorder="1" applyAlignment="1">
      <alignment horizontal="left"/>
    </xf>
    <xf numFmtId="0" fontId="7" fillId="0" borderId="71" xfId="53" applyFont="1" applyFill="1" applyBorder="1" applyAlignment="1">
      <alignment horizontal="center" vertical="center" wrapText="1"/>
      <protection/>
    </xf>
    <xf numFmtId="0" fontId="7" fillId="0" borderId="76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94" xfId="53" applyFont="1" applyFill="1" applyBorder="1" applyAlignment="1">
      <alignment horizontal="center" vertical="center" wrapText="1"/>
      <protection/>
    </xf>
    <xf numFmtId="0" fontId="7" fillId="0" borderId="89" xfId="53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9.125" style="13" customWidth="1"/>
    <col min="2" max="2" width="46.25390625" style="13" customWidth="1"/>
    <col min="3" max="3" width="18.25390625" style="13" customWidth="1"/>
    <col min="4" max="4" width="15.625" style="13" customWidth="1"/>
    <col min="5" max="5" width="23.75390625" style="13" customWidth="1"/>
    <col min="6" max="6" width="9.125" style="13" customWidth="1"/>
    <col min="7" max="7" width="15.125" style="13" customWidth="1"/>
    <col min="8" max="8" width="9.875" style="13" customWidth="1"/>
    <col min="9" max="9" width="10.75390625" style="13" customWidth="1"/>
    <col min="10" max="10" width="11.25390625" style="13" bestFit="1" customWidth="1"/>
    <col min="11" max="16384" width="9.125" style="13" customWidth="1"/>
  </cols>
  <sheetData>
    <row r="1" spans="1:6" ht="15.75">
      <c r="A1" s="12" t="s">
        <v>220</v>
      </c>
      <c r="F1" s="14" t="s">
        <v>87</v>
      </c>
    </row>
    <row r="2" ht="15.75">
      <c r="F2" s="14"/>
    </row>
    <row r="3" spans="6:9" ht="15.75">
      <c r="F3" s="14" t="s">
        <v>210</v>
      </c>
      <c r="H3" s="495" t="s">
        <v>221</v>
      </c>
      <c r="I3" s="495"/>
    </row>
    <row r="5" spans="1:7" ht="15.75">
      <c r="A5" s="494" t="s">
        <v>88</v>
      </c>
      <c r="B5" s="494"/>
      <c r="C5" s="494"/>
      <c r="D5" s="494"/>
      <c r="E5" s="494"/>
      <c r="F5" s="494"/>
      <c r="G5" s="494"/>
    </row>
    <row r="6" spans="1:7" ht="15.75">
      <c r="A6" s="494"/>
      <c r="B6" s="494"/>
      <c r="C6" s="494"/>
      <c r="D6" s="494"/>
      <c r="E6" s="494"/>
      <c r="F6" s="494"/>
      <c r="G6" s="494"/>
    </row>
    <row r="7" spans="2:5" ht="15.75">
      <c r="B7" s="494" t="s">
        <v>235</v>
      </c>
      <c r="C7" s="494"/>
      <c r="D7" s="494"/>
      <c r="E7" s="494"/>
    </row>
    <row r="9" ht="16.5" thickBot="1"/>
    <row r="10" spans="1:7" ht="48" thickBot="1">
      <c r="A10" s="15" t="s">
        <v>71</v>
      </c>
      <c r="B10" s="16" t="s">
        <v>89</v>
      </c>
      <c r="C10" s="17" t="s">
        <v>90</v>
      </c>
      <c r="D10" s="16" t="s">
        <v>91</v>
      </c>
      <c r="E10" s="17" t="s">
        <v>92</v>
      </c>
      <c r="F10" s="17" t="s">
        <v>93</v>
      </c>
      <c r="G10" s="18" t="s">
        <v>74</v>
      </c>
    </row>
    <row r="11" spans="1:7" ht="20.25" customHeight="1">
      <c r="A11" s="496">
        <v>1</v>
      </c>
      <c r="B11" s="498" t="s">
        <v>227</v>
      </c>
      <c r="C11" s="47">
        <v>60</v>
      </c>
      <c r="D11" s="500">
        <v>1200</v>
      </c>
      <c r="E11" s="8" t="s">
        <v>260</v>
      </c>
      <c r="F11" s="9">
        <v>3</v>
      </c>
      <c r="G11" s="21">
        <f>C11*D11*F11</f>
        <v>216000</v>
      </c>
    </row>
    <row r="12" spans="1:7" ht="20.25" customHeight="1" thickBot="1">
      <c r="A12" s="497"/>
      <c r="B12" s="499"/>
      <c r="C12" s="47">
        <v>39</v>
      </c>
      <c r="D12" s="501"/>
      <c r="E12" s="8" t="s">
        <v>237</v>
      </c>
      <c r="F12" s="9">
        <v>3</v>
      </c>
      <c r="G12" s="21">
        <f>D11*C12*F12</f>
        <v>140400</v>
      </c>
    </row>
    <row r="13" spans="1:7" ht="20.25" customHeight="1">
      <c r="A13" s="496">
        <v>2</v>
      </c>
      <c r="B13" s="498" t="s">
        <v>222</v>
      </c>
      <c r="C13" s="47">
        <v>25</v>
      </c>
      <c r="D13" s="502">
        <v>1600</v>
      </c>
      <c r="E13" s="8" t="s">
        <v>260</v>
      </c>
      <c r="F13" s="9">
        <v>3</v>
      </c>
      <c r="G13" s="21">
        <f>C13*D13*F13</f>
        <v>120000</v>
      </c>
    </row>
    <row r="14" spans="1:7" ht="20.25" customHeight="1" thickBot="1">
      <c r="A14" s="497"/>
      <c r="B14" s="499"/>
      <c r="C14" s="47">
        <v>23</v>
      </c>
      <c r="D14" s="501"/>
      <c r="E14" s="8" t="s">
        <v>237</v>
      </c>
      <c r="F14" s="9">
        <v>3</v>
      </c>
      <c r="G14" s="21">
        <f>C14*D13*F14</f>
        <v>110400</v>
      </c>
    </row>
    <row r="15" spans="1:7" ht="20.25" customHeight="1">
      <c r="A15" s="496">
        <v>3</v>
      </c>
      <c r="B15" s="498" t="s">
        <v>223</v>
      </c>
      <c r="C15" s="47">
        <v>10</v>
      </c>
      <c r="D15" s="502">
        <v>1600</v>
      </c>
      <c r="E15" s="8" t="s">
        <v>260</v>
      </c>
      <c r="F15" s="9">
        <v>3</v>
      </c>
      <c r="G15" s="21">
        <f>C15*D15*F15</f>
        <v>48000</v>
      </c>
    </row>
    <row r="16" spans="1:7" ht="20.25" customHeight="1" thickBot="1">
      <c r="A16" s="497"/>
      <c r="B16" s="499"/>
      <c r="C16" s="47">
        <v>19</v>
      </c>
      <c r="D16" s="501"/>
      <c r="E16" s="8" t="s">
        <v>237</v>
      </c>
      <c r="F16" s="9">
        <v>3</v>
      </c>
      <c r="G16" s="21">
        <f>C16*D15*F16</f>
        <v>91200</v>
      </c>
    </row>
    <row r="17" spans="1:7" ht="20.25" customHeight="1">
      <c r="A17" s="496">
        <v>4</v>
      </c>
      <c r="B17" s="498" t="s">
        <v>224</v>
      </c>
      <c r="C17" s="47">
        <v>10</v>
      </c>
      <c r="D17" s="20">
        <v>1200</v>
      </c>
      <c r="E17" s="8" t="s">
        <v>225</v>
      </c>
      <c r="F17" s="9">
        <v>3</v>
      </c>
      <c r="G17" s="21">
        <f aca="true" t="shared" si="0" ref="G17:G22">C17*D17*F17</f>
        <v>36000</v>
      </c>
    </row>
    <row r="18" spans="1:7" ht="20.25" customHeight="1">
      <c r="A18" s="497"/>
      <c r="B18" s="499"/>
      <c r="C18" s="47">
        <v>9</v>
      </c>
      <c r="D18" s="20">
        <v>800</v>
      </c>
      <c r="E18" s="8" t="s">
        <v>217</v>
      </c>
      <c r="F18" s="9">
        <v>3</v>
      </c>
      <c r="G18" s="21">
        <f t="shared" si="0"/>
        <v>21600</v>
      </c>
    </row>
    <row r="19" spans="1:8" ht="21" customHeight="1">
      <c r="A19" s="449">
        <v>5</v>
      </c>
      <c r="B19" s="375" t="s">
        <v>228</v>
      </c>
      <c r="C19" s="448">
        <v>8</v>
      </c>
      <c r="D19" s="377">
        <v>1000</v>
      </c>
      <c r="E19" s="378" t="s">
        <v>237</v>
      </c>
      <c r="F19" s="9">
        <v>3</v>
      </c>
      <c r="G19" s="21">
        <f t="shared" si="0"/>
        <v>24000</v>
      </c>
      <c r="H19" s="37"/>
    </row>
    <row r="20" spans="1:8" ht="21" customHeight="1">
      <c r="A20" s="449">
        <v>6</v>
      </c>
      <c r="B20" s="375" t="s">
        <v>238</v>
      </c>
      <c r="C20" s="376">
        <v>12</v>
      </c>
      <c r="D20" s="377">
        <v>600</v>
      </c>
      <c r="E20" s="378" t="s">
        <v>237</v>
      </c>
      <c r="F20" s="9">
        <v>3</v>
      </c>
      <c r="G20" s="21">
        <f t="shared" si="0"/>
        <v>21600</v>
      </c>
      <c r="H20" s="37"/>
    </row>
    <row r="21" spans="1:8" ht="21" customHeight="1">
      <c r="A21" s="449">
        <v>7</v>
      </c>
      <c r="B21" s="375" t="s">
        <v>236</v>
      </c>
      <c r="C21" s="448">
        <v>35</v>
      </c>
      <c r="D21" s="377">
        <v>800</v>
      </c>
      <c r="E21" s="378" t="s">
        <v>237</v>
      </c>
      <c r="F21" s="9">
        <v>3</v>
      </c>
      <c r="G21" s="21">
        <f t="shared" si="0"/>
        <v>84000</v>
      </c>
      <c r="H21" s="37"/>
    </row>
    <row r="22" spans="1:8" ht="21" customHeight="1" thickBot="1">
      <c r="A22" s="449">
        <v>8</v>
      </c>
      <c r="B22" s="375" t="s">
        <v>239</v>
      </c>
      <c r="C22" s="448">
        <v>21</v>
      </c>
      <c r="D22" s="377">
        <v>800</v>
      </c>
      <c r="E22" s="378" t="s">
        <v>237</v>
      </c>
      <c r="F22" s="9">
        <v>3</v>
      </c>
      <c r="G22" s="21">
        <f t="shared" si="0"/>
        <v>50400</v>
      </c>
      <c r="H22" s="37"/>
    </row>
    <row r="23" spans="1:7" ht="19.5" customHeight="1" hidden="1">
      <c r="A23" s="22">
        <v>12</v>
      </c>
      <c r="B23" s="19"/>
      <c r="C23" s="47"/>
      <c r="D23" s="20"/>
      <c r="E23" s="8" t="s">
        <v>212</v>
      </c>
      <c r="F23" s="9"/>
      <c r="G23" s="24">
        <f aca="true" t="shared" si="1" ref="G23:G37">C23*D23*F23</f>
        <v>0</v>
      </c>
    </row>
    <row r="24" spans="1:7" ht="15.75" hidden="1">
      <c r="A24" s="22">
        <v>13</v>
      </c>
      <c r="B24" s="19" t="s">
        <v>102</v>
      </c>
      <c r="C24" s="25"/>
      <c r="D24" s="21"/>
      <c r="E24" s="25"/>
      <c r="F24" s="26"/>
      <c r="G24" s="24">
        <f t="shared" si="1"/>
        <v>0</v>
      </c>
    </row>
    <row r="25" spans="1:7" ht="15.75" hidden="1">
      <c r="A25" s="22">
        <v>14</v>
      </c>
      <c r="B25" s="19" t="s">
        <v>103</v>
      </c>
      <c r="C25" s="25"/>
      <c r="D25" s="21"/>
      <c r="E25" s="25"/>
      <c r="F25" s="26"/>
      <c r="G25" s="24">
        <f t="shared" si="1"/>
        <v>0</v>
      </c>
    </row>
    <row r="26" spans="1:7" ht="15.75" hidden="1">
      <c r="A26" s="22">
        <v>15</v>
      </c>
      <c r="B26" s="19" t="s">
        <v>104</v>
      </c>
      <c r="C26" s="25"/>
      <c r="D26" s="21"/>
      <c r="E26" s="25"/>
      <c r="F26" s="26"/>
      <c r="G26" s="24">
        <f t="shared" si="1"/>
        <v>0</v>
      </c>
    </row>
    <row r="27" spans="1:7" ht="15.75" hidden="1">
      <c r="A27" s="22">
        <v>16</v>
      </c>
      <c r="B27" s="19" t="s">
        <v>105</v>
      </c>
      <c r="C27" s="25"/>
      <c r="D27" s="21"/>
      <c r="E27" s="25"/>
      <c r="F27" s="26"/>
      <c r="G27" s="24">
        <f t="shared" si="1"/>
        <v>0</v>
      </c>
    </row>
    <row r="28" spans="1:7" ht="15.75" hidden="1">
      <c r="A28" s="22">
        <v>17</v>
      </c>
      <c r="B28" s="19" t="s">
        <v>106</v>
      </c>
      <c r="C28" s="25"/>
      <c r="D28" s="21"/>
      <c r="E28" s="25"/>
      <c r="F28" s="26"/>
      <c r="G28" s="24">
        <f t="shared" si="1"/>
        <v>0</v>
      </c>
    </row>
    <row r="29" spans="1:7" ht="15.75" hidden="1">
      <c r="A29" s="22">
        <v>18</v>
      </c>
      <c r="B29" s="19" t="s">
        <v>107</v>
      </c>
      <c r="C29" s="25"/>
      <c r="D29" s="21"/>
      <c r="E29" s="25"/>
      <c r="F29" s="26"/>
      <c r="G29" s="24">
        <f t="shared" si="1"/>
        <v>0</v>
      </c>
    </row>
    <row r="30" spans="1:7" ht="15.75" hidden="1">
      <c r="A30" s="22">
        <v>19</v>
      </c>
      <c r="B30" s="19" t="s">
        <v>108</v>
      </c>
      <c r="C30" s="25"/>
      <c r="D30" s="21"/>
      <c r="E30" s="25"/>
      <c r="F30" s="26"/>
      <c r="G30" s="24">
        <f t="shared" si="1"/>
        <v>0</v>
      </c>
    </row>
    <row r="31" spans="1:7" ht="15.75" hidden="1">
      <c r="A31" s="22">
        <v>20</v>
      </c>
      <c r="B31" s="19" t="s">
        <v>109</v>
      </c>
      <c r="C31" s="25"/>
      <c r="D31" s="21"/>
      <c r="E31" s="25"/>
      <c r="F31" s="26"/>
      <c r="G31" s="24">
        <f t="shared" si="1"/>
        <v>0</v>
      </c>
    </row>
    <row r="32" spans="1:7" ht="15.75" hidden="1">
      <c r="A32" s="22">
        <v>21</v>
      </c>
      <c r="B32" s="19" t="s">
        <v>110</v>
      </c>
      <c r="C32" s="25"/>
      <c r="D32" s="21"/>
      <c r="E32" s="25"/>
      <c r="F32" s="26"/>
      <c r="G32" s="24">
        <f t="shared" si="1"/>
        <v>0</v>
      </c>
    </row>
    <row r="33" spans="1:7" ht="15.75" hidden="1">
      <c r="A33" s="22">
        <v>22</v>
      </c>
      <c r="B33" s="19" t="s">
        <v>111</v>
      </c>
      <c r="C33" s="25"/>
      <c r="D33" s="21"/>
      <c r="E33" s="25"/>
      <c r="F33" s="26"/>
      <c r="G33" s="24">
        <f t="shared" si="1"/>
        <v>0</v>
      </c>
    </row>
    <row r="34" spans="1:7" ht="15.75" hidden="1">
      <c r="A34" s="22">
        <v>23</v>
      </c>
      <c r="B34" s="19" t="s">
        <v>112</v>
      </c>
      <c r="C34" s="25"/>
      <c r="D34" s="21"/>
      <c r="E34" s="25"/>
      <c r="F34" s="26"/>
      <c r="G34" s="24">
        <f t="shared" si="1"/>
        <v>0</v>
      </c>
    </row>
    <row r="35" spans="1:7" ht="15.75" hidden="1">
      <c r="A35" s="22">
        <v>24</v>
      </c>
      <c r="B35" s="19" t="s">
        <v>113</v>
      </c>
      <c r="C35" s="25"/>
      <c r="D35" s="21"/>
      <c r="E35" s="25"/>
      <c r="F35" s="26"/>
      <c r="G35" s="24">
        <f t="shared" si="1"/>
        <v>0</v>
      </c>
    </row>
    <row r="36" spans="1:7" ht="15.75" hidden="1">
      <c r="A36" s="22">
        <v>25</v>
      </c>
      <c r="B36" s="19" t="s">
        <v>114</v>
      </c>
      <c r="C36" s="25"/>
      <c r="D36" s="21"/>
      <c r="E36" s="25"/>
      <c r="F36" s="26"/>
      <c r="G36" s="24">
        <f t="shared" si="1"/>
        <v>0</v>
      </c>
    </row>
    <row r="37" spans="1:7" ht="16.5" hidden="1" thickBot="1">
      <c r="A37" s="27">
        <v>26</v>
      </c>
      <c r="B37" s="28" t="s">
        <v>115</v>
      </c>
      <c r="C37" s="29"/>
      <c r="D37" s="30"/>
      <c r="E37" s="29"/>
      <c r="F37" s="31"/>
      <c r="G37" s="32">
        <f t="shared" si="1"/>
        <v>0</v>
      </c>
    </row>
    <row r="38" spans="1:8" ht="16.5" thickBot="1">
      <c r="A38" s="492" t="s">
        <v>53</v>
      </c>
      <c r="B38" s="493"/>
      <c r="C38" s="45">
        <f>SUM(C11:C37)</f>
        <v>271</v>
      </c>
      <c r="D38" s="33"/>
      <c r="E38" s="34"/>
      <c r="F38" s="35"/>
      <c r="G38" s="36">
        <f>SUM(G11:G37)</f>
        <v>963600</v>
      </c>
      <c r="H38" s="37"/>
    </row>
    <row r="41" spans="2:4" ht="89.25">
      <c r="B41" s="10" t="s">
        <v>193</v>
      </c>
      <c r="C41" s="11">
        <v>0.04</v>
      </c>
      <c r="D41" s="38"/>
    </row>
  </sheetData>
  <sheetProtection/>
  <mergeCells count="16">
    <mergeCell ref="D13:D14"/>
    <mergeCell ref="A15:A16"/>
    <mergeCell ref="B15:B16"/>
    <mergeCell ref="D15:D16"/>
    <mergeCell ref="A17:A18"/>
    <mergeCell ref="B17:B18"/>
    <mergeCell ref="A38:B38"/>
    <mergeCell ref="A5:G5"/>
    <mergeCell ref="A6:G6"/>
    <mergeCell ref="H3:I3"/>
    <mergeCell ref="B7:E7"/>
    <mergeCell ref="A11:A12"/>
    <mergeCell ref="B11:B12"/>
    <mergeCell ref="D11:D12"/>
    <mergeCell ref="A13:A14"/>
    <mergeCell ref="B13:B1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6.125" style="0" customWidth="1"/>
    <col min="2" max="2" width="11.75390625" style="0" customWidth="1"/>
    <col min="4" max="4" width="16.375" style="0" customWidth="1"/>
    <col min="6" max="6" width="16.25390625" style="0" customWidth="1"/>
    <col min="7" max="7" width="10.625" style="0" customWidth="1"/>
  </cols>
  <sheetData>
    <row r="2" spans="1:6" ht="12.75">
      <c r="A2" s="2" t="s">
        <v>151</v>
      </c>
      <c r="B2" s="2" t="s">
        <v>91</v>
      </c>
      <c r="C2" s="3">
        <v>0.5</v>
      </c>
      <c r="D2" s="2" t="s">
        <v>152</v>
      </c>
      <c r="E2" s="4" t="s">
        <v>153</v>
      </c>
      <c r="F2" s="2" t="s">
        <v>154</v>
      </c>
    </row>
    <row r="3" spans="1:8" ht="12.75">
      <c r="A3" t="str">
        <f>доходы!B11</f>
        <v>Танцевальная студия - 1</v>
      </c>
      <c r="B3" s="1">
        <f>доходы!D11</f>
        <v>1200</v>
      </c>
      <c r="C3">
        <f>B3*0.5</f>
        <v>600</v>
      </c>
      <c r="D3" s="1">
        <f>C3/1.302/1.15/1.12</f>
        <v>357.79</v>
      </c>
      <c r="E3" s="5">
        <v>8</v>
      </c>
      <c r="F3" s="1">
        <f>D3/E3</f>
        <v>44.72</v>
      </c>
      <c r="G3" s="1">
        <f>F3*0.8</f>
        <v>35.78</v>
      </c>
      <c r="H3" s="1">
        <f>F3*0.2</f>
        <v>8.94</v>
      </c>
    </row>
    <row r="4" spans="1:8" ht="12.75">
      <c r="A4" t="str">
        <f>доходы!B13</f>
        <v>Творческая студия</v>
      </c>
      <c r="B4" s="1">
        <f>доходы!D13</f>
        <v>1600</v>
      </c>
      <c r="C4">
        <f aca="true" t="shared" si="0" ref="C4:C28">B4*0.5</f>
        <v>800</v>
      </c>
      <c r="D4" s="1">
        <f>C4/1.302/1.15/1.12</f>
        <v>477.05</v>
      </c>
      <c r="E4" s="5">
        <v>8</v>
      </c>
      <c r="F4" s="1">
        <f>D4/E4</f>
        <v>59.63</v>
      </c>
      <c r="G4" s="1">
        <f>F4*0.8</f>
        <v>47.7</v>
      </c>
      <c r="H4" s="1">
        <f>F4*0.2</f>
        <v>11.93</v>
      </c>
    </row>
    <row r="5" spans="1:8" ht="12.75">
      <c r="A5" t="str">
        <f>доходы!B15</f>
        <v>Услуга логопедической помощи</v>
      </c>
      <c r="B5" s="1">
        <f>доходы!D15</f>
        <v>1600</v>
      </c>
      <c r="C5">
        <f t="shared" si="0"/>
        <v>800</v>
      </c>
      <c r="D5" s="1">
        <f>C5/1.302/1.15/1.12</f>
        <v>477.05</v>
      </c>
      <c r="E5" s="5">
        <v>8</v>
      </c>
      <c r="F5" s="1">
        <f>D5/E5</f>
        <v>59.63</v>
      </c>
      <c r="G5" s="1">
        <f>F5*0.8</f>
        <v>47.7</v>
      </c>
      <c r="H5" s="1">
        <f>F5*0.2</f>
        <v>11.93</v>
      </c>
    </row>
    <row r="6" spans="1:8" ht="12.75">
      <c r="A6" t="str">
        <f>доходы!B17</f>
        <v>Мультстудия</v>
      </c>
      <c r="B6" s="1">
        <f>доходы!D17</f>
        <v>1200</v>
      </c>
      <c r="C6">
        <f t="shared" si="0"/>
        <v>600</v>
      </c>
      <c r="D6" s="1">
        <f>C6/1.302/1.15/1.12</f>
        <v>357.79</v>
      </c>
      <c r="E6" s="5">
        <v>8</v>
      </c>
      <c r="F6" s="1">
        <f>D6/E6</f>
        <v>44.72</v>
      </c>
      <c r="G6" s="1">
        <f>F6*0.8</f>
        <v>35.78</v>
      </c>
      <c r="H6" s="1">
        <f>F6*0.2</f>
        <v>8.94</v>
      </c>
    </row>
    <row r="7" spans="2:6" ht="12.75">
      <c r="B7" s="1"/>
      <c r="D7" s="1"/>
      <c r="E7" s="5">
        <v>8</v>
      </c>
      <c r="F7" s="1"/>
    </row>
    <row r="8" spans="2:6" ht="12.75">
      <c r="B8" s="1"/>
      <c r="D8" s="1"/>
      <c r="E8" s="5"/>
      <c r="F8" s="1"/>
    </row>
    <row r="9" spans="2:6" ht="12.75">
      <c r="B9" s="1"/>
      <c r="D9" s="1"/>
      <c r="E9" s="5"/>
      <c r="F9" s="1"/>
    </row>
    <row r="10" spans="1:8" ht="12.75">
      <c r="A10" t="str">
        <f>доходы!B11</f>
        <v>Танцевальная студия - 1</v>
      </c>
      <c r="B10" s="1">
        <f>доходы!D11</f>
        <v>1200</v>
      </c>
      <c r="C10">
        <f>B10*0.5</f>
        <v>600</v>
      </c>
      <c r="D10" s="1">
        <f>C10/1.302/1.15/1.12</f>
        <v>357.79</v>
      </c>
      <c r="E10" s="5">
        <v>8</v>
      </c>
      <c r="F10" s="1">
        <f>D10/E10</f>
        <v>44.72</v>
      </c>
      <c r="G10" s="1">
        <f aca="true" t="shared" si="1" ref="G10:G30">F10*0.8</f>
        <v>35.78</v>
      </c>
      <c r="H10" s="1">
        <f aca="true" t="shared" si="2" ref="H10:H30">F10*0.2</f>
        <v>8.94</v>
      </c>
    </row>
    <row r="11" spans="1:8" ht="12.75">
      <c r="A11" t="str">
        <f>доходы!B13</f>
        <v>Творческая студия</v>
      </c>
      <c r="B11" s="1">
        <f>доходы!D13</f>
        <v>1600</v>
      </c>
      <c r="C11">
        <f t="shared" si="0"/>
        <v>800</v>
      </c>
      <c r="D11" s="1">
        <f aca="true" t="shared" si="3" ref="D11:D30">C11/1.302/1.15/1.12</f>
        <v>477.05</v>
      </c>
      <c r="E11" s="5">
        <v>8</v>
      </c>
      <c r="F11" s="1">
        <f aca="true" t="shared" si="4" ref="F11:F30">D11/E11</f>
        <v>59.63</v>
      </c>
      <c r="G11" s="1">
        <f t="shared" si="1"/>
        <v>47.7</v>
      </c>
      <c r="H11" s="1">
        <f t="shared" si="2"/>
        <v>11.93</v>
      </c>
    </row>
    <row r="12" spans="1:8" ht="12.75">
      <c r="A12" t="str">
        <f>доходы!B15</f>
        <v>Услуга логопедической помощи</v>
      </c>
      <c r="B12" s="1">
        <f>доходы!D15</f>
        <v>1600</v>
      </c>
      <c r="C12">
        <f t="shared" si="0"/>
        <v>800</v>
      </c>
      <c r="D12" s="1">
        <f t="shared" si="3"/>
        <v>477.05</v>
      </c>
      <c r="E12" s="5">
        <v>8</v>
      </c>
      <c r="F12" s="1">
        <f t="shared" si="4"/>
        <v>59.63</v>
      </c>
      <c r="G12" s="1">
        <f t="shared" si="1"/>
        <v>47.7</v>
      </c>
      <c r="H12" s="1">
        <f t="shared" si="2"/>
        <v>11.93</v>
      </c>
    </row>
    <row r="13" spans="1:8" ht="12.75">
      <c r="A13" t="str">
        <f>доходы!B17</f>
        <v>Мультстудия</v>
      </c>
      <c r="B13" s="1">
        <f>доходы!D17</f>
        <v>1200</v>
      </c>
      <c r="C13">
        <f t="shared" si="0"/>
        <v>600</v>
      </c>
      <c r="D13" s="1">
        <f t="shared" si="3"/>
        <v>357.79</v>
      </c>
      <c r="E13" s="5">
        <v>8</v>
      </c>
      <c r="F13" s="1">
        <f t="shared" si="4"/>
        <v>44.72</v>
      </c>
      <c r="G13" s="1">
        <f t="shared" si="1"/>
        <v>35.78</v>
      </c>
      <c r="H13" s="1">
        <f t="shared" si="2"/>
        <v>8.94</v>
      </c>
    </row>
    <row r="14" spans="1:8" ht="12.75">
      <c r="A14" t="str">
        <f>доходы!B19</f>
        <v>Танцевальная студия - 2</v>
      </c>
      <c r="B14" s="1">
        <f>доходы!D19</f>
        <v>1000</v>
      </c>
      <c r="C14">
        <f t="shared" si="0"/>
        <v>500</v>
      </c>
      <c r="D14" s="1">
        <f t="shared" si="3"/>
        <v>298.16</v>
      </c>
      <c r="E14">
        <v>4</v>
      </c>
      <c r="F14" s="1">
        <f t="shared" si="4"/>
        <v>74.54</v>
      </c>
      <c r="G14" s="1">
        <f t="shared" si="1"/>
        <v>59.63</v>
      </c>
      <c r="H14" s="1">
        <f t="shared" si="2"/>
        <v>14.91</v>
      </c>
    </row>
    <row r="15" spans="1:8" ht="12.75">
      <c r="A15" s="445" t="str">
        <f>'расчет%'!A51:D51</f>
        <v>Творческая студия "Акварелька"-1</v>
      </c>
      <c r="B15" s="446">
        <f>доходы!D20</f>
        <v>600</v>
      </c>
      <c r="C15" s="445">
        <v>400</v>
      </c>
      <c r="D15" s="1">
        <f t="shared" si="3"/>
        <v>238.52</v>
      </c>
      <c r="E15" s="445">
        <v>4</v>
      </c>
      <c r="F15" s="1">
        <f t="shared" si="4"/>
        <v>59.63</v>
      </c>
      <c r="G15" s="1">
        <f t="shared" si="1"/>
        <v>47.7</v>
      </c>
      <c r="H15" s="1">
        <f t="shared" si="2"/>
        <v>11.93</v>
      </c>
    </row>
    <row r="16" spans="1:8" ht="12.75" hidden="1">
      <c r="A16" t="s">
        <v>103</v>
      </c>
      <c r="B16" s="446"/>
      <c r="C16" s="445"/>
      <c r="D16" s="1">
        <f t="shared" si="3"/>
        <v>0</v>
      </c>
      <c r="E16" s="445"/>
      <c r="F16" s="1" t="e">
        <f t="shared" si="4"/>
        <v>#DIV/0!</v>
      </c>
      <c r="G16" s="1" t="e">
        <f t="shared" si="1"/>
        <v>#DIV/0!</v>
      </c>
      <c r="H16" s="1" t="e">
        <f t="shared" si="2"/>
        <v>#DIV/0!</v>
      </c>
    </row>
    <row r="17" spans="1:8" ht="12.75" hidden="1">
      <c r="A17" t="s">
        <v>104</v>
      </c>
      <c r="B17" s="446">
        <f>доходы!D26</f>
        <v>0</v>
      </c>
      <c r="C17" s="445">
        <f t="shared" si="0"/>
        <v>0</v>
      </c>
      <c r="D17" s="1">
        <f t="shared" si="3"/>
        <v>0</v>
      </c>
      <c r="E17" s="445"/>
      <c r="F17" s="1" t="e">
        <f t="shared" si="4"/>
        <v>#DIV/0!</v>
      </c>
      <c r="G17" s="1" t="e">
        <f t="shared" si="1"/>
        <v>#DIV/0!</v>
      </c>
      <c r="H17" s="1" t="e">
        <f t="shared" si="2"/>
        <v>#DIV/0!</v>
      </c>
    </row>
    <row r="18" spans="1:8" ht="12.75" hidden="1">
      <c r="A18" t="s">
        <v>105</v>
      </c>
      <c r="B18" s="446">
        <f>доходы!D27</f>
        <v>0</v>
      </c>
      <c r="C18" s="445">
        <f t="shared" si="0"/>
        <v>0</v>
      </c>
      <c r="D18" s="1">
        <f t="shared" si="3"/>
        <v>0</v>
      </c>
      <c r="E18" s="445">
        <v>4</v>
      </c>
      <c r="F18" s="1">
        <f t="shared" si="4"/>
        <v>0</v>
      </c>
      <c r="G18" s="1">
        <f t="shared" si="1"/>
        <v>0</v>
      </c>
      <c r="H18" s="1">
        <f t="shared" si="2"/>
        <v>0</v>
      </c>
    </row>
    <row r="19" spans="1:8" ht="12.75" hidden="1">
      <c r="A19" t="s">
        <v>106</v>
      </c>
      <c r="B19" s="446">
        <f>доходы!D28</f>
        <v>0</v>
      </c>
      <c r="C19" s="445">
        <f t="shared" si="0"/>
        <v>0</v>
      </c>
      <c r="D19" s="1">
        <f t="shared" si="3"/>
        <v>0</v>
      </c>
      <c r="E19" s="445">
        <v>4</v>
      </c>
      <c r="F19" s="1">
        <f t="shared" si="4"/>
        <v>0</v>
      </c>
      <c r="G19" s="1">
        <f t="shared" si="1"/>
        <v>0</v>
      </c>
      <c r="H19" s="1">
        <f t="shared" si="2"/>
        <v>0</v>
      </c>
    </row>
    <row r="20" spans="1:8" ht="12.75" hidden="1">
      <c r="A20" t="s">
        <v>107</v>
      </c>
      <c r="B20" s="446">
        <f>доходы!D29</f>
        <v>0</v>
      </c>
      <c r="C20" s="445">
        <f t="shared" si="0"/>
        <v>0</v>
      </c>
      <c r="D20" s="1">
        <f t="shared" si="3"/>
        <v>0</v>
      </c>
      <c r="E20" s="445">
        <v>4</v>
      </c>
      <c r="F20" s="1">
        <f t="shared" si="4"/>
        <v>0</v>
      </c>
      <c r="G20" s="1">
        <f t="shared" si="1"/>
        <v>0</v>
      </c>
      <c r="H20" s="1">
        <f t="shared" si="2"/>
        <v>0</v>
      </c>
    </row>
    <row r="21" spans="1:8" ht="12.75" hidden="1">
      <c r="A21" t="s">
        <v>108</v>
      </c>
      <c r="B21" s="446">
        <f>доходы!D30</f>
        <v>0</v>
      </c>
      <c r="C21" s="445">
        <f t="shared" si="0"/>
        <v>0</v>
      </c>
      <c r="D21" s="1">
        <f t="shared" si="3"/>
        <v>0</v>
      </c>
      <c r="E21" s="445">
        <v>4</v>
      </c>
      <c r="F21" s="1">
        <f t="shared" si="4"/>
        <v>0</v>
      </c>
      <c r="G21" s="1">
        <f t="shared" si="1"/>
        <v>0</v>
      </c>
      <c r="H21" s="1">
        <f t="shared" si="2"/>
        <v>0</v>
      </c>
    </row>
    <row r="22" spans="1:8" ht="12.75" hidden="1">
      <c r="A22" t="s">
        <v>109</v>
      </c>
      <c r="B22" s="446">
        <f>доходы!D31</f>
        <v>0</v>
      </c>
      <c r="C22" s="445">
        <f t="shared" si="0"/>
        <v>0</v>
      </c>
      <c r="D22" s="1">
        <f t="shared" si="3"/>
        <v>0</v>
      </c>
      <c r="E22" s="445">
        <v>4</v>
      </c>
      <c r="F22" s="1">
        <f t="shared" si="4"/>
        <v>0</v>
      </c>
      <c r="G22" s="1">
        <f t="shared" si="1"/>
        <v>0</v>
      </c>
      <c r="H22" s="1">
        <f t="shared" si="2"/>
        <v>0</v>
      </c>
    </row>
    <row r="23" spans="1:8" ht="12.75" hidden="1">
      <c r="A23" t="s">
        <v>110</v>
      </c>
      <c r="B23" s="446">
        <f>доходы!D32</f>
        <v>0</v>
      </c>
      <c r="C23" s="445">
        <f t="shared" si="0"/>
        <v>0</v>
      </c>
      <c r="D23" s="1">
        <f t="shared" si="3"/>
        <v>0</v>
      </c>
      <c r="E23" s="445">
        <v>4</v>
      </c>
      <c r="F23" s="1">
        <f t="shared" si="4"/>
        <v>0</v>
      </c>
      <c r="G23" s="1">
        <f t="shared" si="1"/>
        <v>0</v>
      </c>
      <c r="H23" s="1">
        <f t="shared" si="2"/>
        <v>0</v>
      </c>
    </row>
    <row r="24" spans="1:8" ht="12.75" hidden="1">
      <c r="A24" t="s">
        <v>111</v>
      </c>
      <c r="B24" s="446">
        <f>доходы!D33</f>
        <v>0</v>
      </c>
      <c r="C24" s="445">
        <f t="shared" si="0"/>
        <v>0</v>
      </c>
      <c r="D24" s="1">
        <f t="shared" si="3"/>
        <v>0</v>
      </c>
      <c r="E24" s="445">
        <v>4</v>
      </c>
      <c r="F24" s="1">
        <f t="shared" si="4"/>
        <v>0</v>
      </c>
      <c r="G24" s="1">
        <f t="shared" si="1"/>
        <v>0</v>
      </c>
      <c r="H24" s="1">
        <f t="shared" si="2"/>
        <v>0</v>
      </c>
    </row>
    <row r="25" spans="1:8" ht="12.75" hidden="1">
      <c r="A25" t="s">
        <v>112</v>
      </c>
      <c r="B25" s="446">
        <f>доходы!D34</f>
        <v>0</v>
      </c>
      <c r="C25" s="445">
        <f t="shared" si="0"/>
        <v>0</v>
      </c>
      <c r="D25" s="1">
        <f t="shared" si="3"/>
        <v>0</v>
      </c>
      <c r="E25" s="445">
        <v>4</v>
      </c>
      <c r="F25" s="1">
        <f t="shared" si="4"/>
        <v>0</v>
      </c>
      <c r="G25" s="1">
        <f t="shared" si="1"/>
        <v>0</v>
      </c>
      <c r="H25" s="1">
        <f t="shared" si="2"/>
        <v>0</v>
      </c>
    </row>
    <row r="26" spans="1:8" ht="12.75" hidden="1">
      <c r="A26" t="s">
        <v>113</v>
      </c>
      <c r="B26" s="446">
        <f>доходы!D35</f>
        <v>0</v>
      </c>
      <c r="C26" s="445">
        <f t="shared" si="0"/>
        <v>0</v>
      </c>
      <c r="D26" s="1">
        <f t="shared" si="3"/>
        <v>0</v>
      </c>
      <c r="E26" s="445">
        <v>4</v>
      </c>
      <c r="F26" s="1">
        <f t="shared" si="4"/>
        <v>0</v>
      </c>
      <c r="G26" s="1">
        <f t="shared" si="1"/>
        <v>0</v>
      </c>
      <c r="H26" s="1">
        <f t="shared" si="2"/>
        <v>0</v>
      </c>
    </row>
    <row r="27" spans="1:8" ht="12.75" hidden="1">
      <c r="A27" t="s">
        <v>114</v>
      </c>
      <c r="B27" s="446">
        <f>доходы!D36</f>
        <v>0</v>
      </c>
      <c r="C27" s="445">
        <f t="shared" si="0"/>
        <v>0</v>
      </c>
      <c r="D27" s="1">
        <f t="shared" si="3"/>
        <v>0</v>
      </c>
      <c r="E27" s="445">
        <v>4</v>
      </c>
      <c r="F27" s="1">
        <f t="shared" si="4"/>
        <v>0</v>
      </c>
      <c r="G27" s="1">
        <f t="shared" si="1"/>
        <v>0</v>
      </c>
      <c r="H27" s="1">
        <f t="shared" si="2"/>
        <v>0</v>
      </c>
    </row>
    <row r="28" spans="1:8" ht="12.75" hidden="1">
      <c r="A28" t="s">
        <v>115</v>
      </c>
      <c r="B28" s="446">
        <f>доходы!D37</f>
        <v>0</v>
      </c>
      <c r="C28" s="445">
        <f t="shared" si="0"/>
        <v>0</v>
      </c>
      <c r="D28" s="1">
        <f t="shared" si="3"/>
        <v>0</v>
      </c>
      <c r="E28" s="445">
        <v>4</v>
      </c>
      <c r="F28" s="1">
        <f t="shared" si="4"/>
        <v>0</v>
      </c>
      <c r="G28" s="1">
        <f t="shared" si="1"/>
        <v>0</v>
      </c>
      <c r="H28" s="1">
        <f t="shared" si="2"/>
        <v>0</v>
      </c>
    </row>
    <row r="29" spans="1:8" ht="12.75">
      <c r="A29" s="445" t="str">
        <f>'расчет%'!A52:D52</f>
        <v>Творческая студия "Акварелька"</v>
      </c>
      <c r="B29" s="446">
        <f>доходы!D21</f>
        <v>800</v>
      </c>
      <c r="C29" s="445">
        <v>300</v>
      </c>
      <c r="D29" s="1">
        <f t="shared" si="3"/>
        <v>178.89</v>
      </c>
      <c r="E29" s="445">
        <v>4</v>
      </c>
      <c r="F29" s="1">
        <f t="shared" si="4"/>
        <v>44.72</v>
      </c>
      <c r="G29" s="1">
        <f t="shared" si="1"/>
        <v>35.78</v>
      </c>
      <c r="H29" s="1">
        <f t="shared" si="2"/>
        <v>8.94</v>
      </c>
    </row>
    <row r="30" spans="1:8" ht="12.75">
      <c r="A30" s="445" t="str">
        <f>доходы!B22</f>
        <v>Студия конструирования "Йохокуб"</v>
      </c>
      <c r="B30" s="446">
        <f>доходы!D22</f>
        <v>800</v>
      </c>
      <c r="C30" s="445">
        <v>400</v>
      </c>
      <c r="D30" s="1">
        <f t="shared" si="3"/>
        <v>238.52</v>
      </c>
      <c r="E30" s="445">
        <v>4</v>
      </c>
      <c r="F30" s="1">
        <f t="shared" si="4"/>
        <v>59.63</v>
      </c>
      <c r="G30" s="1">
        <f t="shared" si="1"/>
        <v>47.7</v>
      </c>
      <c r="H30" s="1">
        <f t="shared" si="2"/>
        <v>11.93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4.875" style="332" customWidth="1"/>
    <col min="2" max="2" width="10.625" style="332" customWidth="1"/>
    <col min="3" max="3" width="16.375" style="332" customWidth="1"/>
    <col min="4" max="4" width="14.125" style="332" customWidth="1"/>
    <col min="5" max="5" width="16.125" style="332" customWidth="1"/>
    <col min="6" max="6" width="11.125" style="332" customWidth="1"/>
    <col min="7" max="7" width="16.875" style="332" customWidth="1"/>
    <col min="8" max="8" width="17.375" style="332" customWidth="1"/>
    <col min="9" max="9" width="13.875" style="332" customWidth="1"/>
    <col min="10" max="16384" width="9.125" style="332" customWidth="1"/>
  </cols>
  <sheetData>
    <row r="1" ht="15.75">
      <c r="H1" s="38"/>
    </row>
    <row r="2" spans="1:8" ht="15.75">
      <c r="A2" s="333" t="s">
        <v>259</v>
      </c>
      <c r="B2" s="333">
        <v>3</v>
      </c>
      <c r="C2" s="332" t="s">
        <v>85</v>
      </c>
      <c r="H2" s="38"/>
    </row>
    <row r="3" spans="1:8" ht="15.75">
      <c r="A3" s="333" t="s">
        <v>240</v>
      </c>
      <c r="B3" s="333">
        <v>3</v>
      </c>
      <c r="C3" s="332" t="s">
        <v>85</v>
      </c>
      <c r="H3" s="38"/>
    </row>
    <row r="4" spans="1:9" ht="15.75">
      <c r="A4" s="13"/>
      <c r="B4" s="13"/>
      <c r="C4" s="13"/>
      <c r="D4" s="13"/>
      <c r="F4" s="13"/>
      <c r="G4" s="13"/>
      <c r="H4" s="37"/>
      <c r="I4" s="13"/>
    </row>
    <row r="5" spans="1:8" ht="15.75">
      <c r="A5" s="334" t="s">
        <v>194</v>
      </c>
      <c r="B5" s="334"/>
      <c r="C5" s="335"/>
      <c r="D5" s="335"/>
      <c r="F5" s="335"/>
      <c r="G5" s="335"/>
      <c r="H5" s="38"/>
    </row>
    <row r="6" ht="16.5" thickBot="1">
      <c r="H6" s="38"/>
    </row>
    <row r="7" spans="1:9" s="382" customFormat="1" ht="48" thickBot="1">
      <c r="A7" s="524" t="s">
        <v>84</v>
      </c>
      <c r="B7" s="525"/>
      <c r="C7" s="525"/>
      <c r="D7" s="526"/>
      <c r="E7" s="379" t="s">
        <v>11</v>
      </c>
      <c r="F7" s="379" t="s">
        <v>12</v>
      </c>
      <c r="G7" s="394" t="s">
        <v>192</v>
      </c>
      <c r="H7" s="380" t="s">
        <v>13</v>
      </c>
      <c r="I7" s="381" t="s">
        <v>14</v>
      </c>
    </row>
    <row r="8" spans="1:9" s="382" customFormat="1" ht="15.75">
      <c r="A8" s="515" t="s">
        <v>15</v>
      </c>
      <c r="B8" s="516"/>
      <c r="C8" s="516"/>
      <c r="D8" s="517"/>
      <c r="E8" s="336">
        <v>41068.72</v>
      </c>
      <c r="F8" s="521">
        <v>0.04</v>
      </c>
      <c r="G8" s="393">
        <f>E8*F8</f>
        <v>1642.75</v>
      </c>
      <c r="H8" s="383">
        <f>G8/($B$2+$B$3)</f>
        <v>273.79</v>
      </c>
      <c r="I8" s="384">
        <f>H8*0.8</f>
        <v>219.03</v>
      </c>
    </row>
    <row r="9" spans="1:9" s="382" customFormat="1" ht="15.75">
      <c r="A9" s="509" t="s">
        <v>97</v>
      </c>
      <c r="B9" s="510"/>
      <c r="C9" s="510"/>
      <c r="D9" s="511"/>
      <c r="E9" s="338">
        <v>1344808.61</v>
      </c>
      <c r="F9" s="521"/>
      <c r="G9" s="385">
        <v>76960</v>
      </c>
      <c r="H9" s="383">
        <f>G9/($B$2+$B$3)</f>
        <v>12826.67</v>
      </c>
      <c r="I9" s="386">
        <f>H9*0.8</f>
        <v>10261.34</v>
      </c>
    </row>
    <row r="10" spans="1:9" s="382" customFormat="1" ht="15.75">
      <c r="A10" s="509" t="s">
        <v>156</v>
      </c>
      <c r="B10" s="510"/>
      <c r="C10" s="510"/>
      <c r="D10" s="511"/>
      <c r="E10" s="338">
        <v>298189.79</v>
      </c>
      <c r="F10" s="521"/>
      <c r="G10" s="385">
        <f>E10*F8</f>
        <v>11927.59</v>
      </c>
      <c r="H10" s="383">
        <f>G10/($B$2+$B$3)</f>
        <v>1987.93</v>
      </c>
      <c r="I10" s="386">
        <f>H10*0.8</f>
        <v>1590.34</v>
      </c>
    </row>
    <row r="11" spans="1:9" s="382" customFormat="1" ht="16.5" thickBot="1">
      <c r="A11" s="531" t="s">
        <v>157</v>
      </c>
      <c r="B11" s="532"/>
      <c r="C11" s="532"/>
      <c r="D11" s="533"/>
      <c r="E11" s="339">
        <v>270523.76</v>
      </c>
      <c r="F11" s="521"/>
      <c r="G11" s="387">
        <f>E11*F8</f>
        <v>10820.95</v>
      </c>
      <c r="H11" s="383">
        <f>G11/($B$2+$B$3)</f>
        <v>1803.49</v>
      </c>
      <c r="I11" s="388">
        <f>H11*0.8</f>
        <v>1442.79</v>
      </c>
    </row>
    <row r="12" spans="1:9" s="382" customFormat="1" ht="16.5" thickBot="1">
      <c r="A12" s="522" t="s">
        <v>74</v>
      </c>
      <c r="B12" s="523"/>
      <c r="C12" s="523"/>
      <c r="D12" s="523"/>
      <c r="E12" s="340">
        <f>SUM(E8:E11)</f>
        <v>1954590.88</v>
      </c>
      <c r="F12" s="389"/>
      <c r="G12" s="390">
        <f>SUM(G8:G11)</f>
        <v>101351.29</v>
      </c>
      <c r="H12" s="391">
        <f>SUM(H8:H11)</f>
        <v>16891.88</v>
      </c>
      <c r="I12" s="392">
        <f>H12*0.8</f>
        <v>13513.5</v>
      </c>
    </row>
    <row r="13" spans="7:8" ht="15.75">
      <c r="G13" s="38"/>
      <c r="H13" s="38"/>
    </row>
    <row r="14" spans="1:9" ht="15.75">
      <c r="A14" s="530" t="s">
        <v>16</v>
      </c>
      <c r="B14" s="530"/>
      <c r="C14" s="530"/>
      <c r="D14" s="530"/>
      <c r="E14" s="530"/>
      <c r="F14" s="530"/>
      <c r="G14" s="530"/>
      <c r="H14" s="530"/>
      <c r="I14" s="530"/>
    </row>
    <row r="15" spans="1:9" ht="16.5" thickBot="1">
      <c r="A15" s="292"/>
      <c r="B15" s="292"/>
      <c r="C15" s="292"/>
      <c r="D15" s="292"/>
      <c r="E15" s="341"/>
      <c r="F15" s="341"/>
      <c r="G15" s="341"/>
      <c r="H15" s="341"/>
      <c r="I15" s="292"/>
    </row>
    <row r="16" spans="1:9" ht="48.75" customHeight="1" thickBot="1">
      <c r="A16" s="518" t="s">
        <v>249</v>
      </c>
      <c r="B16" s="519"/>
      <c r="C16" s="519"/>
      <c r="D16" s="520"/>
      <c r="E16" s="342" t="s">
        <v>45</v>
      </c>
      <c r="F16" s="342" t="s">
        <v>46</v>
      </c>
      <c r="G16" s="343" t="s">
        <v>47</v>
      </c>
      <c r="H16" s="342" t="s">
        <v>57</v>
      </c>
      <c r="I16" s="292"/>
    </row>
    <row r="17" spans="1:8" ht="15.75">
      <c r="A17" s="527" t="str">
        <f>доходы!B11</f>
        <v>Танцевальная студия - 1</v>
      </c>
      <c r="B17" s="528"/>
      <c r="C17" s="528"/>
      <c r="D17" s="529"/>
      <c r="E17" s="344">
        <f>доходы!C11</f>
        <v>60</v>
      </c>
      <c r="F17" s="344">
        <f>доходы!D11</f>
        <v>1200</v>
      </c>
      <c r="G17" s="345">
        <f>E17*F17</f>
        <v>72000</v>
      </c>
      <c r="H17" s="346">
        <f>G17/G43*100</f>
        <v>51.43</v>
      </c>
    </row>
    <row r="18" spans="1:8" ht="15.75" customHeight="1">
      <c r="A18" s="503" t="str">
        <f>доходы!B13</f>
        <v>Творческая студия</v>
      </c>
      <c r="B18" s="504"/>
      <c r="C18" s="504"/>
      <c r="D18" s="505"/>
      <c r="E18" s="347">
        <f>доходы!C13</f>
        <v>25</v>
      </c>
      <c r="F18" s="347">
        <f>доходы!D13</f>
        <v>1600</v>
      </c>
      <c r="G18" s="337">
        <f>E18*F18</f>
        <v>40000</v>
      </c>
      <c r="H18" s="348">
        <f>G18/G43*100</f>
        <v>28.57</v>
      </c>
    </row>
    <row r="19" spans="1:8" ht="15.75">
      <c r="A19" s="503" t="str">
        <f>доходы!B15</f>
        <v>Услуга логопедической помощи</v>
      </c>
      <c r="B19" s="504"/>
      <c r="C19" s="504"/>
      <c r="D19" s="505"/>
      <c r="E19" s="347">
        <f>доходы!C15</f>
        <v>10</v>
      </c>
      <c r="F19" s="347">
        <f>доходы!D15</f>
        <v>1600</v>
      </c>
      <c r="G19" s="337">
        <f>E19*F19</f>
        <v>16000</v>
      </c>
      <c r="H19" s="348">
        <f>G19/G43*100</f>
        <v>11.43</v>
      </c>
    </row>
    <row r="20" spans="1:8" ht="15.75" customHeight="1" thickBot="1">
      <c r="A20" s="503" t="str">
        <f>доходы!B17</f>
        <v>Мультстудия</v>
      </c>
      <c r="B20" s="504"/>
      <c r="C20" s="504"/>
      <c r="D20" s="505"/>
      <c r="E20" s="347">
        <f>доходы!C17</f>
        <v>10</v>
      </c>
      <c r="F20" s="347">
        <f>доходы!D17</f>
        <v>1200</v>
      </c>
      <c r="G20" s="337">
        <f>E20*F20</f>
        <v>12000</v>
      </c>
      <c r="H20" s="348">
        <f>G20/G43*100</f>
        <v>8.57</v>
      </c>
    </row>
    <row r="21" spans="1:8" ht="18" customHeight="1" hidden="1">
      <c r="A21" s="503"/>
      <c r="B21" s="504"/>
      <c r="C21" s="504"/>
      <c r="D21" s="505"/>
      <c r="E21" s="347"/>
      <c r="F21" s="347"/>
      <c r="G21" s="337"/>
      <c r="H21" s="348"/>
    </row>
    <row r="22" spans="1:8" ht="15.75" hidden="1">
      <c r="A22" s="503"/>
      <c r="B22" s="504"/>
      <c r="C22" s="504"/>
      <c r="D22" s="505"/>
      <c r="E22" s="347"/>
      <c r="F22" s="347"/>
      <c r="G22" s="337"/>
      <c r="H22" s="348"/>
    </row>
    <row r="23" spans="1:8" ht="15.75" hidden="1">
      <c r="A23" s="503"/>
      <c r="B23" s="504"/>
      <c r="C23" s="504"/>
      <c r="D23" s="505"/>
      <c r="E23" s="23">
        <v>0</v>
      </c>
      <c r="F23" s="21"/>
      <c r="G23" s="337">
        <f aca="true" t="shared" si="0" ref="G23:G42">E23*F23</f>
        <v>0</v>
      </c>
      <c r="H23" s="348">
        <f>G23/G43*100</f>
        <v>0</v>
      </c>
    </row>
    <row r="24" spans="1:8" ht="15" customHeight="1" hidden="1">
      <c r="A24" s="503"/>
      <c r="B24" s="504"/>
      <c r="C24" s="504"/>
      <c r="D24" s="505"/>
      <c r="E24" s="23"/>
      <c r="F24" s="21"/>
      <c r="G24" s="337">
        <f t="shared" si="0"/>
        <v>0</v>
      </c>
      <c r="H24" s="348">
        <f>G24/G43*100</f>
        <v>0</v>
      </c>
    </row>
    <row r="25" spans="1:8" ht="15.75" hidden="1">
      <c r="A25" s="503" t="e">
        <f>доходы!#REF!</f>
        <v>#REF!</v>
      </c>
      <c r="B25" s="504"/>
      <c r="C25" s="504"/>
      <c r="D25" s="505"/>
      <c r="E25" s="23"/>
      <c r="F25" s="21"/>
      <c r="G25" s="337">
        <f t="shared" si="0"/>
        <v>0</v>
      </c>
      <c r="H25" s="348">
        <f>G25/G43*100</f>
        <v>0</v>
      </c>
    </row>
    <row r="26" spans="1:8" ht="15.75" hidden="1">
      <c r="A26" s="503" t="e">
        <f>доходы!#REF!</f>
        <v>#REF!</v>
      </c>
      <c r="B26" s="504"/>
      <c r="C26" s="504"/>
      <c r="D26" s="505"/>
      <c r="E26" s="23"/>
      <c r="F26" s="21"/>
      <c r="G26" s="337">
        <f t="shared" si="0"/>
        <v>0</v>
      </c>
      <c r="H26" s="348">
        <f>G26/G43*100</f>
        <v>0</v>
      </c>
    </row>
    <row r="27" spans="1:8" ht="15.75" hidden="1">
      <c r="A27" s="503" t="e">
        <f>доходы!#REF!</f>
        <v>#REF!</v>
      </c>
      <c r="B27" s="504"/>
      <c r="C27" s="504"/>
      <c r="D27" s="505"/>
      <c r="E27" s="23"/>
      <c r="F27" s="21"/>
      <c r="G27" s="337">
        <f t="shared" si="0"/>
        <v>0</v>
      </c>
      <c r="H27" s="348">
        <f>G27/G43*100</f>
        <v>0</v>
      </c>
    </row>
    <row r="28" spans="1:8" ht="15.75" hidden="1">
      <c r="A28" s="503">
        <f>доходы!B23</f>
        <v>0</v>
      </c>
      <c r="B28" s="504"/>
      <c r="C28" s="504"/>
      <c r="D28" s="505"/>
      <c r="E28" s="23"/>
      <c r="F28" s="21">
        <f>доходы!D23</f>
        <v>0</v>
      </c>
      <c r="G28" s="337">
        <f t="shared" si="0"/>
        <v>0</v>
      </c>
      <c r="H28" s="348">
        <f>G28/G43*100</f>
        <v>0</v>
      </c>
    </row>
    <row r="29" spans="1:8" ht="15.75" hidden="1">
      <c r="A29" s="503" t="str">
        <f>доходы!B24</f>
        <v>услуга 13</v>
      </c>
      <c r="B29" s="504"/>
      <c r="C29" s="504"/>
      <c r="D29" s="505"/>
      <c r="E29" s="23">
        <f>доходы!C24</f>
        <v>0</v>
      </c>
      <c r="F29" s="21">
        <f>доходы!D24</f>
        <v>0</v>
      </c>
      <c r="G29" s="337">
        <f t="shared" si="0"/>
        <v>0</v>
      </c>
      <c r="H29" s="348">
        <f>G29/G43*100</f>
        <v>0</v>
      </c>
    </row>
    <row r="30" spans="1:8" ht="15.75" hidden="1">
      <c r="A30" s="503" t="str">
        <f>доходы!B25</f>
        <v>услуга 14</v>
      </c>
      <c r="B30" s="504"/>
      <c r="C30" s="504"/>
      <c r="D30" s="505"/>
      <c r="E30" s="23">
        <f>доходы!C25</f>
        <v>0</v>
      </c>
      <c r="F30" s="21">
        <f>доходы!D25</f>
        <v>0</v>
      </c>
      <c r="G30" s="337">
        <f t="shared" si="0"/>
        <v>0</v>
      </c>
      <c r="H30" s="348">
        <f>G30/G43*100</f>
        <v>0</v>
      </c>
    </row>
    <row r="31" spans="1:8" ht="15.75" hidden="1">
      <c r="A31" s="503" t="str">
        <f>доходы!B26</f>
        <v>услуга 15</v>
      </c>
      <c r="B31" s="504"/>
      <c r="C31" s="504"/>
      <c r="D31" s="505"/>
      <c r="E31" s="23">
        <f>доходы!C26</f>
        <v>0</v>
      </c>
      <c r="F31" s="21">
        <f>доходы!D26</f>
        <v>0</v>
      </c>
      <c r="G31" s="337">
        <f t="shared" si="0"/>
        <v>0</v>
      </c>
      <c r="H31" s="348">
        <f>G31/G43*100</f>
        <v>0</v>
      </c>
    </row>
    <row r="32" spans="1:8" ht="15.75" hidden="1">
      <c r="A32" s="503" t="str">
        <f>доходы!B27</f>
        <v>услуга 16</v>
      </c>
      <c r="B32" s="504"/>
      <c r="C32" s="504"/>
      <c r="D32" s="505"/>
      <c r="E32" s="23">
        <f>доходы!C27</f>
        <v>0</v>
      </c>
      <c r="F32" s="21">
        <f>доходы!D27</f>
        <v>0</v>
      </c>
      <c r="G32" s="337">
        <f t="shared" si="0"/>
        <v>0</v>
      </c>
      <c r="H32" s="348">
        <f>G32/G43*100</f>
        <v>0</v>
      </c>
    </row>
    <row r="33" spans="1:8" ht="15.75" hidden="1">
      <c r="A33" s="503" t="str">
        <f>доходы!B28</f>
        <v>услуга 17</v>
      </c>
      <c r="B33" s="504"/>
      <c r="C33" s="504"/>
      <c r="D33" s="505"/>
      <c r="E33" s="23">
        <f>доходы!C28</f>
        <v>0</v>
      </c>
      <c r="F33" s="21">
        <f>доходы!D28</f>
        <v>0</v>
      </c>
      <c r="G33" s="337">
        <f t="shared" si="0"/>
        <v>0</v>
      </c>
      <c r="H33" s="348">
        <f>G33/G43*100</f>
        <v>0</v>
      </c>
    </row>
    <row r="34" spans="1:8" ht="15.75" hidden="1">
      <c r="A34" s="503" t="str">
        <f>доходы!B29</f>
        <v>услуга 18</v>
      </c>
      <c r="B34" s="504"/>
      <c r="C34" s="504"/>
      <c r="D34" s="505"/>
      <c r="E34" s="23">
        <f>доходы!C29</f>
        <v>0</v>
      </c>
      <c r="F34" s="21">
        <f>доходы!D29</f>
        <v>0</v>
      </c>
      <c r="G34" s="337">
        <f t="shared" si="0"/>
        <v>0</v>
      </c>
      <c r="H34" s="348">
        <f>G34/G43*100</f>
        <v>0</v>
      </c>
    </row>
    <row r="35" spans="1:8" ht="15.75" hidden="1">
      <c r="A35" s="503" t="str">
        <f>доходы!B30</f>
        <v>услуга 19</v>
      </c>
      <c r="B35" s="504"/>
      <c r="C35" s="504"/>
      <c r="D35" s="505"/>
      <c r="E35" s="23">
        <f>доходы!C30</f>
        <v>0</v>
      </c>
      <c r="F35" s="21">
        <f>доходы!D30</f>
        <v>0</v>
      </c>
      <c r="G35" s="337">
        <f t="shared" si="0"/>
        <v>0</v>
      </c>
      <c r="H35" s="348">
        <f>G35/G43*100</f>
        <v>0</v>
      </c>
    </row>
    <row r="36" spans="1:8" ht="15.75" hidden="1">
      <c r="A36" s="503" t="str">
        <f>доходы!B31</f>
        <v>услуга 20</v>
      </c>
      <c r="B36" s="504"/>
      <c r="C36" s="504"/>
      <c r="D36" s="505"/>
      <c r="E36" s="23">
        <f>доходы!C31</f>
        <v>0</v>
      </c>
      <c r="F36" s="21">
        <f>доходы!D31</f>
        <v>0</v>
      </c>
      <c r="G36" s="337">
        <f t="shared" si="0"/>
        <v>0</v>
      </c>
      <c r="H36" s="348">
        <f>G36/G43*100</f>
        <v>0</v>
      </c>
    </row>
    <row r="37" spans="1:8" ht="15.75" hidden="1">
      <c r="A37" s="503" t="str">
        <f>доходы!B32</f>
        <v>услуга 21</v>
      </c>
      <c r="B37" s="504"/>
      <c r="C37" s="504"/>
      <c r="D37" s="505"/>
      <c r="E37" s="23">
        <f>доходы!C32</f>
        <v>0</v>
      </c>
      <c r="F37" s="21">
        <f>доходы!D32</f>
        <v>0</v>
      </c>
      <c r="G37" s="337">
        <f t="shared" si="0"/>
        <v>0</v>
      </c>
      <c r="H37" s="348">
        <f>G37/G43*100</f>
        <v>0</v>
      </c>
    </row>
    <row r="38" spans="1:8" ht="15.75" hidden="1">
      <c r="A38" s="503" t="str">
        <f>доходы!B33</f>
        <v>услуга 22</v>
      </c>
      <c r="B38" s="504"/>
      <c r="C38" s="504"/>
      <c r="D38" s="505"/>
      <c r="E38" s="23">
        <f>доходы!C33</f>
        <v>0</v>
      </c>
      <c r="F38" s="21">
        <f>доходы!D33</f>
        <v>0</v>
      </c>
      <c r="G38" s="337">
        <f t="shared" si="0"/>
        <v>0</v>
      </c>
      <c r="H38" s="348">
        <f>G38/G43*100</f>
        <v>0</v>
      </c>
    </row>
    <row r="39" spans="1:8" ht="15.75" hidden="1">
      <c r="A39" s="503" t="str">
        <f>доходы!B34</f>
        <v>услуга 23</v>
      </c>
      <c r="B39" s="504"/>
      <c r="C39" s="504"/>
      <c r="D39" s="505"/>
      <c r="E39" s="23">
        <f>доходы!C34</f>
        <v>0</v>
      </c>
      <c r="F39" s="21">
        <f>доходы!D34</f>
        <v>0</v>
      </c>
      <c r="G39" s="337">
        <f t="shared" si="0"/>
        <v>0</v>
      </c>
      <c r="H39" s="348">
        <f>G39/G43*100</f>
        <v>0</v>
      </c>
    </row>
    <row r="40" spans="1:8" ht="15.75" hidden="1">
      <c r="A40" s="503" t="str">
        <f>доходы!B35</f>
        <v>услуга 24</v>
      </c>
      <c r="B40" s="504"/>
      <c r="C40" s="504"/>
      <c r="D40" s="505"/>
      <c r="E40" s="23">
        <f>доходы!C35</f>
        <v>0</v>
      </c>
      <c r="F40" s="21">
        <f>доходы!D35</f>
        <v>0</v>
      </c>
      <c r="G40" s="337">
        <f t="shared" si="0"/>
        <v>0</v>
      </c>
      <c r="H40" s="348">
        <f>G40/G43*100</f>
        <v>0</v>
      </c>
    </row>
    <row r="41" spans="1:8" ht="15.75" hidden="1">
      <c r="A41" s="503" t="str">
        <f>доходы!B36</f>
        <v>услуга 25</v>
      </c>
      <c r="B41" s="504"/>
      <c r="C41" s="504"/>
      <c r="D41" s="505"/>
      <c r="E41" s="23">
        <f>доходы!C36</f>
        <v>0</v>
      </c>
      <c r="F41" s="21">
        <f>доходы!D36</f>
        <v>0</v>
      </c>
      <c r="G41" s="337">
        <f t="shared" si="0"/>
        <v>0</v>
      </c>
      <c r="H41" s="348">
        <f>G41/G43*100</f>
        <v>0</v>
      </c>
    </row>
    <row r="42" spans="1:8" ht="16.5" hidden="1" thickBot="1">
      <c r="A42" s="506" t="str">
        <f>доходы!B37</f>
        <v>услуга 26</v>
      </c>
      <c r="B42" s="507"/>
      <c r="C42" s="507"/>
      <c r="D42" s="508"/>
      <c r="E42" s="349">
        <f>доходы!C37</f>
        <v>0</v>
      </c>
      <c r="F42" s="30">
        <f>доходы!D37</f>
        <v>0</v>
      </c>
      <c r="G42" s="350">
        <f t="shared" si="0"/>
        <v>0</v>
      </c>
      <c r="H42" s="351">
        <f>G42/G43*100</f>
        <v>0</v>
      </c>
    </row>
    <row r="43" spans="1:8" ht="15" customHeight="1" thickBot="1">
      <c r="A43" s="512" t="s">
        <v>74</v>
      </c>
      <c r="B43" s="513"/>
      <c r="C43" s="513"/>
      <c r="D43" s="514"/>
      <c r="E43" s="352">
        <f>SUM(E17:E42)</f>
        <v>105</v>
      </c>
      <c r="F43" s="353"/>
      <c r="G43" s="340">
        <f>SUM(G17:G42)</f>
        <v>140000</v>
      </c>
      <c r="H43" s="354">
        <f>SUM(H17:H42)</f>
        <v>100</v>
      </c>
    </row>
    <row r="44" ht="16.5" thickBot="1"/>
    <row r="45" spans="1:8" ht="32.25" thickBot="1">
      <c r="A45" s="518" t="s">
        <v>241</v>
      </c>
      <c r="B45" s="519"/>
      <c r="C45" s="519"/>
      <c r="D45" s="520"/>
      <c r="E45" s="343" t="s">
        <v>45</v>
      </c>
      <c r="F45" s="343" t="s">
        <v>46</v>
      </c>
      <c r="G45" s="343" t="s">
        <v>47</v>
      </c>
      <c r="H45" s="355" t="s">
        <v>57</v>
      </c>
    </row>
    <row r="46" spans="1:8" ht="15.75">
      <c r="A46" s="527" t="str">
        <f>доходы!B11</f>
        <v>Танцевальная студия - 1</v>
      </c>
      <c r="B46" s="528"/>
      <c r="C46" s="528"/>
      <c r="D46" s="529"/>
      <c r="E46" s="344">
        <f>доходы!C12</f>
        <v>39</v>
      </c>
      <c r="F46" s="356">
        <f>доходы!D11</f>
        <v>1200</v>
      </c>
      <c r="G46" s="345">
        <f>E46*F46</f>
        <v>46800</v>
      </c>
      <c r="H46" s="346">
        <f>G46/G75*100</f>
        <v>25.83</v>
      </c>
    </row>
    <row r="47" spans="1:8" ht="15.75">
      <c r="A47" s="527" t="str">
        <f>доходы!B13</f>
        <v>Творческая студия</v>
      </c>
      <c r="B47" s="528"/>
      <c r="C47" s="528"/>
      <c r="D47" s="529"/>
      <c r="E47" s="344">
        <f>доходы!C14</f>
        <v>23</v>
      </c>
      <c r="F47" s="356">
        <f>доходы!D13</f>
        <v>1600</v>
      </c>
      <c r="G47" s="345">
        <f aca="true" t="shared" si="1" ref="G47:G53">E47*F47</f>
        <v>36800</v>
      </c>
      <c r="H47" s="348">
        <f>G47/G75*100</f>
        <v>20.31</v>
      </c>
    </row>
    <row r="48" spans="1:8" ht="15.75">
      <c r="A48" s="527" t="str">
        <f>доходы!B15</f>
        <v>Услуга логопедической помощи</v>
      </c>
      <c r="B48" s="528"/>
      <c r="C48" s="528"/>
      <c r="D48" s="529"/>
      <c r="E48" s="344">
        <f>доходы!C16</f>
        <v>19</v>
      </c>
      <c r="F48" s="356">
        <v>1600</v>
      </c>
      <c r="G48" s="345">
        <f t="shared" si="1"/>
        <v>30400</v>
      </c>
      <c r="H48" s="348">
        <f>G48/G75*100</f>
        <v>16.78</v>
      </c>
    </row>
    <row r="49" spans="1:8" ht="15.75">
      <c r="A49" s="527" t="str">
        <f>доходы!B17</f>
        <v>Мультстудия</v>
      </c>
      <c r="B49" s="528"/>
      <c r="C49" s="528"/>
      <c r="D49" s="529"/>
      <c r="E49" s="344">
        <f>доходы!C18</f>
        <v>9</v>
      </c>
      <c r="F49" s="356">
        <f>доходы!D18</f>
        <v>800</v>
      </c>
      <c r="G49" s="345">
        <f t="shared" si="1"/>
        <v>7200</v>
      </c>
      <c r="H49" s="447">
        <f>G49/G75*100</f>
        <v>3.97</v>
      </c>
    </row>
    <row r="50" spans="1:8" ht="15.75">
      <c r="A50" s="527" t="str">
        <f>доходы!B19</f>
        <v>Танцевальная студия - 2</v>
      </c>
      <c r="B50" s="528"/>
      <c r="C50" s="528"/>
      <c r="D50" s="529"/>
      <c r="E50" s="344">
        <f>доходы!C19</f>
        <v>8</v>
      </c>
      <c r="F50" s="356">
        <f>доходы!D19</f>
        <v>1000</v>
      </c>
      <c r="G50" s="345">
        <f t="shared" si="1"/>
        <v>8000</v>
      </c>
      <c r="H50" s="447">
        <f>G50/G75*100</f>
        <v>4.42</v>
      </c>
    </row>
    <row r="51" spans="1:8" ht="15.75">
      <c r="A51" s="527" t="str">
        <f>доходы!B20</f>
        <v>Творческая студия "Акварелька"-1</v>
      </c>
      <c r="B51" s="528"/>
      <c r="C51" s="528"/>
      <c r="D51" s="529"/>
      <c r="E51" s="344">
        <f>доходы!C20</f>
        <v>12</v>
      </c>
      <c r="F51" s="356">
        <f>доходы!D20</f>
        <v>600</v>
      </c>
      <c r="G51" s="345">
        <f t="shared" si="1"/>
        <v>7200</v>
      </c>
      <c r="H51" s="447">
        <f>G51/G75*100</f>
        <v>3.97</v>
      </c>
    </row>
    <row r="52" spans="1:8" ht="15.75">
      <c r="A52" s="527" t="str">
        <f>доходы!B21</f>
        <v>Творческая студия "Акварелька"</v>
      </c>
      <c r="B52" s="528"/>
      <c r="C52" s="528"/>
      <c r="D52" s="529"/>
      <c r="E52" s="344">
        <f>доходы!C21</f>
        <v>35</v>
      </c>
      <c r="F52" s="356">
        <f>доходы!D21</f>
        <v>800</v>
      </c>
      <c r="G52" s="345">
        <f t="shared" si="1"/>
        <v>28000</v>
      </c>
      <c r="H52" s="348">
        <f>G52/G75*100</f>
        <v>15.45</v>
      </c>
    </row>
    <row r="53" spans="1:8" ht="16.5" thickBot="1">
      <c r="A53" s="527" t="str">
        <f>доходы!B22</f>
        <v>Студия конструирования "Йохокуб"</v>
      </c>
      <c r="B53" s="528"/>
      <c r="C53" s="528"/>
      <c r="D53" s="529"/>
      <c r="E53" s="344">
        <f>доходы!C22</f>
        <v>21</v>
      </c>
      <c r="F53" s="356">
        <f>доходы!D22</f>
        <v>800</v>
      </c>
      <c r="G53" s="345">
        <f t="shared" si="1"/>
        <v>16800</v>
      </c>
      <c r="H53" s="348">
        <f>G53/G75*100</f>
        <v>9.27</v>
      </c>
    </row>
    <row r="54" spans="1:8" ht="15.75" hidden="1">
      <c r="A54" s="527">
        <f>доходы!B23</f>
        <v>0</v>
      </c>
      <c r="B54" s="528"/>
      <c r="C54" s="528"/>
      <c r="D54" s="529"/>
      <c r="E54" s="344"/>
      <c r="F54" s="356"/>
      <c r="G54" s="337"/>
      <c r="H54" s="348">
        <f>G54/G75*100</f>
        <v>0</v>
      </c>
    </row>
    <row r="55" spans="1:8" ht="15.75" hidden="1">
      <c r="A55" s="527"/>
      <c r="B55" s="528"/>
      <c r="C55" s="528"/>
      <c r="D55" s="529"/>
      <c r="E55" s="357"/>
      <c r="F55" s="356"/>
      <c r="G55" s="337"/>
      <c r="H55" s="348">
        <f>G55/G75*100</f>
        <v>0</v>
      </c>
    </row>
    <row r="56" spans="1:8" ht="15.75" hidden="1">
      <c r="A56" s="527"/>
      <c r="B56" s="528"/>
      <c r="C56" s="528"/>
      <c r="D56" s="529"/>
      <c r="E56" s="357"/>
      <c r="F56" s="356"/>
      <c r="G56" s="337"/>
      <c r="H56" s="348">
        <f>G56/G75*100</f>
        <v>0</v>
      </c>
    </row>
    <row r="57" spans="1:8" ht="15.75" hidden="1">
      <c r="A57" s="527"/>
      <c r="B57" s="528"/>
      <c r="C57" s="528"/>
      <c r="D57" s="529"/>
      <c r="E57" s="357"/>
      <c r="F57" s="356"/>
      <c r="G57" s="337"/>
      <c r="H57" s="348">
        <f>G57/G75*100</f>
        <v>0</v>
      </c>
    </row>
    <row r="58" spans="1:8" ht="15.75" hidden="1">
      <c r="A58" s="527" t="e">
        <f>доходы!#REF!</f>
        <v>#REF!</v>
      </c>
      <c r="B58" s="528"/>
      <c r="C58" s="528"/>
      <c r="D58" s="529"/>
      <c r="E58" s="357"/>
      <c r="F58" s="356"/>
      <c r="G58" s="337"/>
      <c r="H58" s="348">
        <f>G58/G75*100</f>
        <v>0</v>
      </c>
    </row>
    <row r="59" spans="1:8" ht="15.75" hidden="1">
      <c r="A59" s="527" t="e">
        <f>доходы!#REF!</f>
        <v>#REF!</v>
      </c>
      <c r="B59" s="528"/>
      <c r="C59" s="528"/>
      <c r="D59" s="529"/>
      <c r="E59" s="357"/>
      <c r="F59" s="356"/>
      <c r="G59" s="337"/>
      <c r="H59" s="348">
        <f>G59/G75*100</f>
        <v>0</v>
      </c>
    </row>
    <row r="60" spans="1:8" ht="15.75" hidden="1">
      <c r="A60" s="527">
        <f>доходы!B23</f>
        <v>0</v>
      </c>
      <c r="B60" s="528"/>
      <c r="C60" s="528"/>
      <c r="D60" s="529"/>
      <c r="E60" s="357"/>
      <c r="F60" s="356"/>
      <c r="G60" s="337"/>
      <c r="H60" s="348">
        <f>G60/G75*100</f>
        <v>0</v>
      </c>
    </row>
    <row r="61" spans="1:8" ht="15.75" hidden="1">
      <c r="A61" s="527" t="str">
        <f>доходы!B24</f>
        <v>услуга 13</v>
      </c>
      <c r="B61" s="528"/>
      <c r="C61" s="528"/>
      <c r="D61" s="529"/>
      <c r="E61" s="357">
        <f>доходы!C24</f>
        <v>0</v>
      </c>
      <c r="F61" s="356">
        <f>доходы!D24</f>
        <v>0</v>
      </c>
      <c r="G61" s="337">
        <f aca="true" t="shared" si="2" ref="G61:G74">E61*F61</f>
        <v>0</v>
      </c>
      <c r="H61" s="348">
        <f>G61/G75*100</f>
        <v>0</v>
      </c>
    </row>
    <row r="62" spans="1:8" ht="15.75" hidden="1">
      <c r="A62" s="527" t="str">
        <f>доходы!B25</f>
        <v>услуга 14</v>
      </c>
      <c r="B62" s="528"/>
      <c r="C62" s="528"/>
      <c r="D62" s="529"/>
      <c r="E62" s="357">
        <f>доходы!C25</f>
        <v>0</v>
      </c>
      <c r="F62" s="356">
        <f>доходы!D25</f>
        <v>0</v>
      </c>
      <c r="G62" s="337">
        <f t="shared" si="2"/>
        <v>0</v>
      </c>
      <c r="H62" s="348">
        <f>G62/G75*100</f>
        <v>0</v>
      </c>
    </row>
    <row r="63" spans="1:8" ht="15.75" hidden="1">
      <c r="A63" s="527" t="str">
        <f>доходы!B26</f>
        <v>услуга 15</v>
      </c>
      <c r="B63" s="528"/>
      <c r="C63" s="528"/>
      <c r="D63" s="529"/>
      <c r="E63" s="357">
        <f>доходы!C26</f>
        <v>0</v>
      </c>
      <c r="F63" s="356">
        <f>доходы!D26</f>
        <v>0</v>
      </c>
      <c r="G63" s="337">
        <f t="shared" si="2"/>
        <v>0</v>
      </c>
      <c r="H63" s="348">
        <f>G63/G75*100</f>
        <v>0</v>
      </c>
    </row>
    <row r="64" spans="1:8" ht="15.75" hidden="1">
      <c r="A64" s="527" t="str">
        <f>доходы!B27</f>
        <v>услуга 16</v>
      </c>
      <c r="B64" s="528"/>
      <c r="C64" s="528"/>
      <c r="D64" s="529"/>
      <c r="E64" s="357">
        <f>доходы!C27</f>
        <v>0</v>
      </c>
      <c r="F64" s="356">
        <f>доходы!D27</f>
        <v>0</v>
      </c>
      <c r="G64" s="337">
        <f t="shared" si="2"/>
        <v>0</v>
      </c>
      <c r="H64" s="348">
        <f>G64/G75*100</f>
        <v>0</v>
      </c>
    </row>
    <row r="65" spans="1:8" ht="15.75" hidden="1">
      <c r="A65" s="527" t="str">
        <f>доходы!B28</f>
        <v>услуга 17</v>
      </c>
      <c r="B65" s="528"/>
      <c r="C65" s="528"/>
      <c r="D65" s="529"/>
      <c r="E65" s="357">
        <f>доходы!C28</f>
        <v>0</v>
      </c>
      <c r="F65" s="356">
        <f>доходы!D28</f>
        <v>0</v>
      </c>
      <c r="G65" s="337">
        <f t="shared" si="2"/>
        <v>0</v>
      </c>
      <c r="H65" s="348">
        <f>G65/G75*100</f>
        <v>0</v>
      </c>
    </row>
    <row r="66" spans="1:8" ht="15.75" hidden="1">
      <c r="A66" s="527" t="str">
        <f>доходы!B29</f>
        <v>услуга 18</v>
      </c>
      <c r="B66" s="528"/>
      <c r="C66" s="528"/>
      <c r="D66" s="529"/>
      <c r="E66" s="357">
        <f>доходы!C29</f>
        <v>0</v>
      </c>
      <c r="F66" s="356">
        <f>доходы!D29</f>
        <v>0</v>
      </c>
      <c r="G66" s="337">
        <f t="shared" si="2"/>
        <v>0</v>
      </c>
      <c r="H66" s="348">
        <f>G66/G75*100</f>
        <v>0</v>
      </c>
    </row>
    <row r="67" spans="1:8" ht="15.75" hidden="1">
      <c r="A67" s="527" t="str">
        <f>доходы!B30</f>
        <v>услуга 19</v>
      </c>
      <c r="B67" s="528"/>
      <c r="C67" s="528"/>
      <c r="D67" s="529"/>
      <c r="E67" s="357">
        <f>доходы!C30</f>
        <v>0</v>
      </c>
      <c r="F67" s="356">
        <f>доходы!D30</f>
        <v>0</v>
      </c>
      <c r="G67" s="337">
        <f t="shared" si="2"/>
        <v>0</v>
      </c>
      <c r="H67" s="348">
        <f>G67/G75*100</f>
        <v>0</v>
      </c>
    </row>
    <row r="68" spans="1:8" ht="15.75" hidden="1">
      <c r="A68" s="527" t="str">
        <f>доходы!B31</f>
        <v>услуга 20</v>
      </c>
      <c r="B68" s="528"/>
      <c r="C68" s="528"/>
      <c r="D68" s="529"/>
      <c r="E68" s="357">
        <f>доходы!C31</f>
        <v>0</v>
      </c>
      <c r="F68" s="356">
        <f>доходы!D31</f>
        <v>0</v>
      </c>
      <c r="G68" s="337">
        <f t="shared" si="2"/>
        <v>0</v>
      </c>
      <c r="H68" s="348">
        <f>G68/G75*100</f>
        <v>0</v>
      </c>
    </row>
    <row r="69" spans="1:8" ht="15.75" hidden="1">
      <c r="A69" s="527" t="str">
        <f>доходы!B32</f>
        <v>услуга 21</v>
      </c>
      <c r="B69" s="528"/>
      <c r="C69" s="528"/>
      <c r="D69" s="529"/>
      <c r="E69" s="357">
        <f>доходы!C32</f>
        <v>0</v>
      </c>
      <c r="F69" s="356">
        <f>доходы!D32</f>
        <v>0</v>
      </c>
      <c r="G69" s="337">
        <f t="shared" si="2"/>
        <v>0</v>
      </c>
      <c r="H69" s="348">
        <f>G69/G75*100</f>
        <v>0</v>
      </c>
    </row>
    <row r="70" spans="1:8" ht="15.75" hidden="1">
      <c r="A70" s="527" t="str">
        <f>доходы!B33</f>
        <v>услуга 22</v>
      </c>
      <c r="B70" s="528"/>
      <c r="C70" s="528"/>
      <c r="D70" s="529"/>
      <c r="E70" s="357">
        <f>доходы!C33</f>
        <v>0</v>
      </c>
      <c r="F70" s="356">
        <f>доходы!D33</f>
        <v>0</v>
      </c>
      <c r="G70" s="337">
        <f t="shared" si="2"/>
        <v>0</v>
      </c>
      <c r="H70" s="348">
        <f>G70/G75*100</f>
        <v>0</v>
      </c>
    </row>
    <row r="71" spans="1:8" ht="15.75" hidden="1">
      <c r="A71" s="527" t="str">
        <f>доходы!B34</f>
        <v>услуга 23</v>
      </c>
      <c r="B71" s="528"/>
      <c r="C71" s="528"/>
      <c r="D71" s="529"/>
      <c r="E71" s="357">
        <f>доходы!C34</f>
        <v>0</v>
      </c>
      <c r="F71" s="356">
        <f>доходы!D34</f>
        <v>0</v>
      </c>
      <c r="G71" s="337">
        <f t="shared" si="2"/>
        <v>0</v>
      </c>
      <c r="H71" s="348">
        <f>G71/G75*100</f>
        <v>0</v>
      </c>
    </row>
    <row r="72" spans="1:8" ht="15.75" hidden="1">
      <c r="A72" s="527" t="str">
        <f>доходы!B35</f>
        <v>услуга 24</v>
      </c>
      <c r="B72" s="528"/>
      <c r="C72" s="528"/>
      <c r="D72" s="529"/>
      <c r="E72" s="357">
        <f>доходы!C35</f>
        <v>0</v>
      </c>
      <c r="F72" s="356">
        <f>доходы!D35</f>
        <v>0</v>
      </c>
      <c r="G72" s="337">
        <f t="shared" si="2"/>
        <v>0</v>
      </c>
      <c r="H72" s="348">
        <f>G72/G75*100</f>
        <v>0</v>
      </c>
    </row>
    <row r="73" spans="1:8" ht="15.75" hidden="1">
      <c r="A73" s="527" t="str">
        <f>доходы!B36</f>
        <v>услуга 25</v>
      </c>
      <c r="B73" s="528"/>
      <c r="C73" s="528"/>
      <c r="D73" s="529"/>
      <c r="E73" s="357">
        <f>доходы!C36</f>
        <v>0</v>
      </c>
      <c r="F73" s="356">
        <f>доходы!D36</f>
        <v>0</v>
      </c>
      <c r="G73" s="337">
        <f t="shared" si="2"/>
        <v>0</v>
      </c>
      <c r="H73" s="348">
        <f>G73/G75*100</f>
        <v>0</v>
      </c>
    </row>
    <row r="74" spans="1:8" ht="16.5" hidden="1" thickBot="1">
      <c r="A74" s="527" t="str">
        <f>доходы!B37</f>
        <v>услуга 26</v>
      </c>
      <c r="B74" s="528"/>
      <c r="C74" s="528"/>
      <c r="D74" s="529"/>
      <c r="E74" s="357">
        <f>доходы!C37</f>
        <v>0</v>
      </c>
      <c r="F74" s="356">
        <f>доходы!D37</f>
        <v>0</v>
      </c>
      <c r="G74" s="350">
        <f t="shared" si="2"/>
        <v>0</v>
      </c>
      <c r="H74" s="351">
        <f>G74/G75*100</f>
        <v>0</v>
      </c>
    </row>
    <row r="75" spans="1:8" ht="16.5" thickBot="1">
      <c r="A75" s="512" t="s">
        <v>74</v>
      </c>
      <c r="B75" s="513"/>
      <c r="C75" s="513"/>
      <c r="D75" s="514"/>
      <c r="E75" s="352">
        <f>SUM(E46:E74)</f>
        <v>166</v>
      </c>
      <c r="F75" s="353"/>
      <c r="G75" s="340">
        <f>SUM(G46:G74)</f>
        <v>181200</v>
      </c>
      <c r="H75" s="354">
        <f>SUM(H46:H74)</f>
        <v>100</v>
      </c>
    </row>
    <row r="77" spans="1:8" ht="32.25" hidden="1" thickBot="1">
      <c r="A77" s="518"/>
      <c r="B77" s="519"/>
      <c r="C77" s="519"/>
      <c r="D77" s="520"/>
      <c r="E77" s="343" t="s">
        <v>45</v>
      </c>
      <c r="F77" s="343" t="s">
        <v>46</v>
      </c>
      <c r="G77" s="343" t="s">
        <v>47</v>
      </c>
      <c r="H77" s="355" t="s">
        <v>57</v>
      </c>
    </row>
    <row r="78" spans="1:8" ht="15.75" hidden="1">
      <c r="A78" s="527" t="str">
        <f>доходы!B11</f>
        <v>Танцевальная студия - 1</v>
      </c>
      <c r="B78" s="528"/>
      <c r="C78" s="528"/>
      <c r="D78" s="529"/>
      <c r="E78" s="357"/>
      <c r="F78" s="356"/>
      <c r="G78" s="345">
        <f>E78*F78</f>
        <v>0</v>
      </c>
      <c r="H78" s="346"/>
    </row>
    <row r="79" spans="1:8" ht="15.75" hidden="1">
      <c r="A79" s="527" t="str">
        <f>доходы!B13</f>
        <v>Творческая студия</v>
      </c>
      <c r="B79" s="528"/>
      <c r="C79" s="528"/>
      <c r="D79" s="529"/>
      <c r="E79" s="357"/>
      <c r="F79" s="356"/>
      <c r="G79" s="337">
        <f>E79*F79</f>
        <v>0</v>
      </c>
      <c r="H79" s="348"/>
    </row>
    <row r="80" spans="1:8" ht="15.75" hidden="1">
      <c r="A80" s="527" t="str">
        <f>доходы!B15</f>
        <v>Услуга логопедической помощи</v>
      </c>
      <c r="B80" s="528"/>
      <c r="C80" s="528"/>
      <c r="D80" s="529"/>
      <c r="E80" s="357"/>
      <c r="F80" s="356"/>
      <c r="G80" s="337">
        <f>E80*F80</f>
        <v>0</v>
      </c>
      <c r="H80" s="348"/>
    </row>
    <row r="81" spans="1:8" ht="15.75" hidden="1">
      <c r="A81" s="527" t="str">
        <f>доходы!B17</f>
        <v>Мультстудия</v>
      </c>
      <c r="B81" s="528"/>
      <c r="C81" s="528"/>
      <c r="D81" s="529"/>
      <c r="E81" s="357"/>
      <c r="F81" s="356"/>
      <c r="G81" s="337">
        <f aca="true" t="shared" si="3" ref="G81:G103">E81*F81</f>
        <v>0</v>
      </c>
      <c r="H81" s="348"/>
    </row>
    <row r="82" spans="1:8" ht="15.75" hidden="1">
      <c r="A82" s="527" t="e">
        <f>доходы!#REF!</f>
        <v>#REF!</v>
      </c>
      <c r="B82" s="528"/>
      <c r="C82" s="528"/>
      <c r="D82" s="529"/>
      <c r="E82" s="357"/>
      <c r="F82" s="356"/>
      <c r="G82" s="337">
        <f t="shared" si="3"/>
        <v>0</v>
      </c>
      <c r="H82" s="348"/>
    </row>
    <row r="83" spans="1:8" ht="15.75" hidden="1">
      <c r="A83" s="527" t="e">
        <f>доходы!#REF!</f>
        <v>#REF!</v>
      </c>
      <c r="B83" s="528"/>
      <c r="C83" s="528"/>
      <c r="D83" s="529"/>
      <c r="E83" s="357"/>
      <c r="F83" s="356"/>
      <c r="G83" s="337">
        <f t="shared" si="3"/>
        <v>0</v>
      </c>
      <c r="H83" s="348"/>
    </row>
    <row r="84" spans="1:8" ht="15.75" hidden="1">
      <c r="A84" s="527" t="e">
        <f>доходы!#REF!</f>
        <v>#REF!</v>
      </c>
      <c r="B84" s="528"/>
      <c r="C84" s="528"/>
      <c r="D84" s="529"/>
      <c r="E84" s="357"/>
      <c r="F84" s="356" t="e">
        <f>доходы!#REF!</f>
        <v>#REF!</v>
      </c>
      <c r="G84" s="337" t="e">
        <f t="shared" si="3"/>
        <v>#REF!</v>
      </c>
      <c r="H84" s="348"/>
    </row>
    <row r="85" spans="1:8" ht="15.75" hidden="1">
      <c r="A85" s="527" t="str">
        <f>доходы!B19</f>
        <v>Танцевальная студия - 2</v>
      </c>
      <c r="B85" s="528"/>
      <c r="C85" s="528"/>
      <c r="D85" s="529"/>
      <c r="E85" s="357">
        <f>доходы!C19</f>
        <v>8</v>
      </c>
      <c r="F85" s="356">
        <f>доходы!D19</f>
        <v>1000</v>
      </c>
      <c r="G85" s="337">
        <f t="shared" si="3"/>
        <v>8000</v>
      </c>
      <c r="H85" s="348" t="e">
        <f>G85/G104*100</f>
        <v>#REF!</v>
      </c>
    </row>
    <row r="86" spans="1:8" ht="15.75" hidden="1">
      <c r="A86" s="527" t="e">
        <f>доходы!#REF!</f>
        <v>#REF!</v>
      </c>
      <c r="B86" s="528"/>
      <c r="C86" s="528"/>
      <c r="D86" s="529"/>
      <c r="E86" s="357" t="e">
        <f>доходы!#REF!</f>
        <v>#REF!</v>
      </c>
      <c r="F86" s="356" t="e">
        <f>доходы!#REF!</f>
        <v>#REF!</v>
      </c>
      <c r="G86" s="337" t="e">
        <f t="shared" si="3"/>
        <v>#REF!</v>
      </c>
      <c r="H86" s="348" t="e">
        <f>G86/G104*100</f>
        <v>#REF!</v>
      </c>
    </row>
    <row r="87" spans="1:8" ht="15.75" hidden="1">
      <c r="A87" s="527" t="e">
        <f>доходы!#REF!</f>
        <v>#REF!</v>
      </c>
      <c r="B87" s="528"/>
      <c r="C87" s="528"/>
      <c r="D87" s="529"/>
      <c r="E87" s="357" t="e">
        <f>доходы!#REF!</f>
        <v>#REF!</v>
      </c>
      <c r="F87" s="356" t="e">
        <f>доходы!#REF!</f>
        <v>#REF!</v>
      </c>
      <c r="G87" s="337" t="e">
        <f t="shared" si="3"/>
        <v>#REF!</v>
      </c>
      <c r="H87" s="348" t="e">
        <f>G87/G104*100</f>
        <v>#REF!</v>
      </c>
    </row>
    <row r="88" spans="1:8" ht="15.75" hidden="1">
      <c r="A88" s="527" t="e">
        <f>доходы!#REF!</f>
        <v>#REF!</v>
      </c>
      <c r="B88" s="528"/>
      <c r="C88" s="528"/>
      <c r="D88" s="529"/>
      <c r="E88" s="357" t="e">
        <f>доходы!#REF!</f>
        <v>#REF!</v>
      </c>
      <c r="F88" s="356" t="e">
        <f>доходы!#REF!</f>
        <v>#REF!</v>
      </c>
      <c r="G88" s="337" t="e">
        <f t="shared" si="3"/>
        <v>#REF!</v>
      </c>
      <c r="H88" s="348" t="e">
        <f>G88/G104*100</f>
        <v>#REF!</v>
      </c>
    </row>
    <row r="89" spans="1:8" ht="15.75" hidden="1">
      <c r="A89" s="527">
        <f>доходы!B23</f>
        <v>0</v>
      </c>
      <c r="B89" s="528"/>
      <c r="C89" s="528"/>
      <c r="D89" s="529"/>
      <c r="E89" s="357">
        <f>доходы!C23</f>
        <v>0</v>
      </c>
      <c r="F89" s="356">
        <f>доходы!D23</f>
        <v>0</v>
      </c>
      <c r="G89" s="337">
        <f t="shared" si="3"/>
        <v>0</v>
      </c>
      <c r="H89" s="348" t="e">
        <f>G89/G104*100</f>
        <v>#REF!</v>
      </c>
    </row>
    <row r="90" spans="1:8" ht="15.75" hidden="1">
      <c r="A90" s="527" t="str">
        <f>доходы!B24</f>
        <v>услуга 13</v>
      </c>
      <c r="B90" s="528"/>
      <c r="C90" s="528"/>
      <c r="D90" s="529"/>
      <c r="E90" s="357">
        <f>доходы!C24</f>
        <v>0</v>
      </c>
      <c r="F90" s="356">
        <f>доходы!D24</f>
        <v>0</v>
      </c>
      <c r="G90" s="337">
        <f t="shared" si="3"/>
        <v>0</v>
      </c>
      <c r="H90" s="348" t="e">
        <f>G90/G104*100</f>
        <v>#REF!</v>
      </c>
    </row>
    <row r="91" spans="1:8" ht="15.75" hidden="1">
      <c r="A91" s="527" t="str">
        <f>доходы!B25</f>
        <v>услуга 14</v>
      </c>
      <c r="B91" s="528"/>
      <c r="C91" s="528"/>
      <c r="D91" s="529"/>
      <c r="E91" s="357">
        <f>доходы!C25</f>
        <v>0</v>
      </c>
      <c r="F91" s="356">
        <f>доходы!D25</f>
        <v>0</v>
      </c>
      <c r="G91" s="337">
        <f t="shared" si="3"/>
        <v>0</v>
      </c>
      <c r="H91" s="348" t="e">
        <f>G91/G104*100</f>
        <v>#REF!</v>
      </c>
    </row>
    <row r="92" spans="1:8" ht="15.75" hidden="1">
      <c r="A92" s="527" t="str">
        <f>доходы!B26</f>
        <v>услуга 15</v>
      </c>
      <c r="B92" s="528"/>
      <c r="C92" s="528"/>
      <c r="D92" s="529"/>
      <c r="E92" s="357">
        <f>доходы!C26</f>
        <v>0</v>
      </c>
      <c r="F92" s="356">
        <f>доходы!D26</f>
        <v>0</v>
      </c>
      <c r="G92" s="337">
        <f t="shared" si="3"/>
        <v>0</v>
      </c>
      <c r="H92" s="348" t="e">
        <f>G92/G104*100</f>
        <v>#REF!</v>
      </c>
    </row>
    <row r="93" spans="1:8" ht="15.75" hidden="1">
      <c r="A93" s="527" t="str">
        <f>доходы!B27</f>
        <v>услуга 16</v>
      </c>
      <c r="B93" s="528"/>
      <c r="C93" s="528"/>
      <c r="D93" s="529"/>
      <c r="E93" s="357">
        <f>доходы!C27</f>
        <v>0</v>
      </c>
      <c r="F93" s="356">
        <f>доходы!D27</f>
        <v>0</v>
      </c>
      <c r="G93" s="337">
        <f t="shared" si="3"/>
        <v>0</v>
      </c>
      <c r="H93" s="348" t="e">
        <f>G93/G104*100</f>
        <v>#REF!</v>
      </c>
    </row>
    <row r="94" spans="1:8" ht="15.75" hidden="1">
      <c r="A94" s="527" t="str">
        <f>доходы!B28</f>
        <v>услуга 17</v>
      </c>
      <c r="B94" s="528"/>
      <c r="C94" s="528"/>
      <c r="D94" s="529"/>
      <c r="E94" s="357">
        <f>доходы!C28</f>
        <v>0</v>
      </c>
      <c r="F94" s="356">
        <f>доходы!D28</f>
        <v>0</v>
      </c>
      <c r="G94" s="337">
        <f t="shared" si="3"/>
        <v>0</v>
      </c>
      <c r="H94" s="348" t="e">
        <f>G94/G104*100</f>
        <v>#REF!</v>
      </c>
    </row>
    <row r="95" spans="1:8" ht="15.75" hidden="1">
      <c r="A95" s="527" t="str">
        <f>доходы!B29</f>
        <v>услуга 18</v>
      </c>
      <c r="B95" s="528"/>
      <c r="C95" s="528"/>
      <c r="D95" s="529"/>
      <c r="E95" s="357">
        <f>доходы!C29</f>
        <v>0</v>
      </c>
      <c r="F95" s="356">
        <f>доходы!D29</f>
        <v>0</v>
      </c>
      <c r="G95" s="337">
        <f t="shared" si="3"/>
        <v>0</v>
      </c>
      <c r="H95" s="348" t="e">
        <f>G95/G104*100</f>
        <v>#REF!</v>
      </c>
    </row>
    <row r="96" spans="1:8" ht="15.75" hidden="1">
      <c r="A96" s="527" t="str">
        <f>доходы!B30</f>
        <v>услуга 19</v>
      </c>
      <c r="B96" s="528"/>
      <c r="C96" s="528"/>
      <c r="D96" s="529"/>
      <c r="E96" s="357">
        <f>доходы!C30</f>
        <v>0</v>
      </c>
      <c r="F96" s="356">
        <f>доходы!D30</f>
        <v>0</v>
      </c>
      <c r="G96" s="337">
        <f t="shared" si="3"/>
        <v>0</v>
      </c>
      <c r="H96" s="348" t="e">
        <f>G96/G104*100</f>
        <v>#REF!</v>
      </c>
    </row>
    <row r="97" spans="1:8" ht="15.75" hidden="1">
      <c r="A97" s="527" t="str">
        <f>доходы!B31</f>
        <v>услуга 20</v>
      </c>
      <c r="B97" s="528"/>
      <c r="C97" s="528"/>
      <c r="D97" s="529"/>
      <c r="E97" s="357">
        <f>доходы!C31</f>
        <v>0</v>
      </c>
      <c r="F97" s="356">
        <f>доходы!D31</f>
        <v>0</v>
      </c>
      <c r="G97" s="337">
        <f t="shared" si="3"/>
        <v>0</v>
      </c>
      <c r="H97" s="348" t="e">
        <f>G97/G104*100</f>
        <v>#REF!</v>
      </c>
    </row>
    <row r="98" spans="1:8" ht="15.75" hidden="1">
      <c r="A98" s="527" t="str">
        <f>доходы!B32</f>
        <v>услуга 21</v>
      </c>
      <c r="B98" s="528"/>
      <c r="C98" s="528"/>
      <c r="D98" s="529"/>
      <c r="E98" s="357">
        <f>доходы!C32</f>
        <v>0</v>
      </c>
      <c r="F98" s="356">
        <f>доходы!D32</f>
        <v>0</v>
      </c>
      <c r="G98" s="337">
        <f t="shared" si="3"/>
        <v>0</v>
      </c>
      <c r="H98" s="348" t="e">
        <f>G98/G104*100</f>
        <v>#REF!</v>
      </c>
    </row>
    <row r="99" spans="1:8" ht="15.75" hidden="1">
      <c r="A99" s="527" t="str">
        <f>доходы!B33</f>
        <v>услуга 22</v>
      </c>
      <c r="B99" s="528"/>
      <c r="C99" s="528"/>
      <c r="D99" s="529"/>
      <c r="E99" s="357">
        <f>доходы!C33</f>
        <v>0</v>
      </c>
      <c r="F99" s="356">
        <f>доходы!D33</f>
        <v>0</v>
      </c>
      <c r="G99" s="337">
        <f t="shared" si="3"/>
        <v>0</v>
      </c>
      <c r="H99" s="348" t="e">
        <f>G99/G104*100</f>
        <v>#REF!</v>
      </c>
    </row>
    <row r="100" spans="1:8" ht="15.75" hidden="1">
      <c r="A100" s="527" t="str">
        <f>доходы!B34</f>
        <v>услуга 23</v>
      </c>
      <c r="B100" s="528"/>
      <c r="C100" s="528"/>
      <c r="D100" s="529"/>
      <c r="E100" s="357">
        <f>доходы!C34</f>
        <v>0</v>
      </c>
      <c r="F100" s="356">
        <f>доходы!D34</f>
        <v>0</v>
      </c>
      <c r="G100" s="337">
        <f t="shared" si="3"/>
        <v>0</v>
      </c>
      <c r="H100" s="348" t="e">
        <f>G100/G104*100</f>
        <v>#REF!</v>
      </c>
    </row>
    <row r="101" spans="1:8" ht="15.75" hidden="1">
      <c r="A101" s="527" t="str">
        <f>доходы!B35</f>
        <v>услуга 24</v>
      </c>
      <c r="B101" s="528"/>
      <c r="C101" s="528"/>
      <c r="D101" s="529"/>
      <c r="E101" s="357">
        <f>доходы!C35</f>
        <v>0</v>
      </c>
      <c r="F101" s="356">
        <f>доходы!D35</f>
        <v>0</v>
      </c>
      <c r="G101" s="337">
        <f t="shared" si="3"/>
        <v>0</v>
      </c>
      <c r="H101" s="348" t="e">
        <f>G101/G104*100</f>
        <v>#REF!</v>
      </c>
    </row>
    <row r="102" spans="1:8" ht="15.75" hidden="1">
      <c r="A102" s="527" t="str">
        <f>доходы!B36</f>
        <v>услуга 25</v>
      </c>
      <c r="B102" s="528"/>
      <c r="C102" s="528"/>
      <c r="D102" s="529"/>
      <c r="E102" s="357">
        <f>доходы!C36</f>
        <v>0</v>
      </c>
      <c r="F102" s="356">
        <f>доходы!D36</f>
        <v>0</v>
      </c>
      <c r="G102" s="337">
        <f t="shared" si="3"/>
        <v>0</v>
      </c>
      <c r="H102" s="348" t="e">
        <f>G102/G104*100</f>
        <v>#REF!</v>
      </c>
    </row>
    <row r="103" spans="1:8" ht="16.5" hidden="1" thickBot="1">
      <c r="A103" s="527" t="str">
        <f>доходы!B37</f>
        <v>услуга 26</v>
      </c>
      <c r="B103" s="528"/>
      <c r="C103" s="528"/>
      <c r="D103" s="529"/>
      <c r="E103" s="357">
        <f>доходы!C37</f>
        <v>0</v>
      </c>
      <c r="F103" s="356">
        <f>доходы!D37</f>
        <v>0</v>
      </c>
      <c r="G103" s="350">
        <f t="shared" si="3"/>
        <v>0</v>
      </c>
      <c r="H103" s="351" t="e">
        <f>G103/G104*100</f>
        <v>#REF!</v>
      </c>
    </row>
    <row r="104" spans="1:8" ht="16.5" hidden="1" thickBot="1">
      <c r="A104" s="512" t="s">
        <v>74</v>
      </c>
      <c r="B104" s="513"/>
      <c r="C104" s="513"/>
      <c r="D104" s="514"/>
      <c r="E104" s="352" t="e">
        <f>SUM(E78:E103)</f>
        <v>#REF!</v>
      </c>
      <c r="F104" s="353"/>
      <c r="G104" s="340" t="e">
        <f>SUM(G78:G103)</f>
        <v>#REF!</v>
      </c>
      <c r="H104" s="354" t="e">
        <f>SUM(H78:H103)</f>
        <v>#REF!</v>
      </c>
    </row>
    <row r="105" ht="15.75" hidden="1"/>
  </sheetData>
  <sheetProtection/>
  <mergeCells count="95">
    <mergeCell ref="A100:D100"/>
    <mergeCell ref="A101:D101"/>
    <mergeCell ref="A102:D102"/>
    <mergeCell ref="A103:D103"/>
    <mergeCell ref="A104:D104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82:D82"/>
    <mergeCell ref="A83:D83"/>
    <mergeCell ref="A84:D84"/>
    <mergeCell ref="A85:D85"/>
    <mergeCell ref="A86:D86"/>
    <mergeCell ref="A87:D87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5:D45"/>
    <mergeCell ref="A46:D46"/>
    <mergeCell ref="A47:D47"/>
    <mergeCell ref="A48:D48"/>
    <mergeCell ref="A52:D52"/>
    <mergeCell ref="A53:D53"/>
    <mergeCell ref="A49:D49"/>
    <mergeCell ref="A50:D50"/>
    <mergeCell ref="A51:D51"/>
    <mergeCell ref="A43:D43"/>
    <mergeCell ref="A8:D8"/>
    <mergeCell ref="A16:D16"/>
    <mergeCell ref="F8:F11"/>
    <mergeCell ref="A12:D12"/>
    <mergeCell ref="A7:D7"/>
    <mergeCell ref="A17:D17"/>
    <mergeCell ref="A14:I14"/>
    <mergeCell ref="A11:D11"/>
    <mergeCell ref="A10:D10"/>
    <mergeCell ref="A9:D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1:D41"/>
    <mergeCell ref="A42:D42"/>
    <mergeCell ref="A35:D35"/>
    <mergeCell ref="A36:D36"/>
    <mergeCell ref="A37:D37"/>
    <mergeCell ref="A38:D38"/>
    <mergeCell ref="A39:D39"/>
    <mergeCell ref="A40:D40"/>
  </mergeCells>
  <printOptions/>
  <pageMargins left="0.7086614173228347" right="0.33" top="0.22" bottom="0.31" header="0.23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3"/>
  <sheetViews>
    <sheetView zoomScale="90" zoomScaleNormal="90" zoomScalePageLayoutView="0" workbookViewId="0" topLeftCell="C66">
      <selection activeCell="S24" sqref="S24"/>
    </sheetView>
  </sheetViews>
  <sheetFormatPr defaultColWidth="9.00390625" defaultRowHeight="12.75"/>
  <cols>
    <col min="1" max="1" width="5.625" style="40" customWidth="1"/>
    <col min="2" max="2" width="19.625" style="40" customWidth="1"/>
    <col min="3" max="3" width="20.75390625" style="40" customWidth="1"/>
    <col min="4" max="4" width="25.75390625" style="40" customWidth="1"/>
    <col min="5" max="5" width="11.625" style="40" customWidth="1"/>
    <col min="6" max="6" width="14.625" style="40" customWidth="1"/>
    <col min="7" max="7" width="15.875" style="40" customWidth="1"/>
    <col min="8" max="8" width="10.875" style="40" customWidth="1"/>
    <col min="9" max="9" width="9.625" style="40" customWidth="1"/>
    <col min="10" max="10" width="8.375" style="40" customWidth="1"/>
    <col min="11" max="11" width="10.625" style="50" customWidth="1"/>
    <col min="12" max="12" width="8.00390625" style="40" customWidth="1"/>
    <col min="13" max="15" width="9.125" style="40" customWidth="1"/>
    <col min="16" max="16" width="10.75390625" style="40" customWidth="1"/>
    <col min="17" max="17" width="11.75390625" style="40" customWidth="1"/>
    <col min="18" max="18" width="15.25390625" style="40" customWidth="1"/>
    <col min="19" max="19" width="13.125" style="40" customWidth="1"/>
    <col min="20" max="16384" width="9.125" style="40" customWidth="1"/>
  </cols>
  <sheetData>
    <row r="1" spans="1:19" ht="15.75">
      <c r="A1" s="12" t="s">
        <v>220</v>
      </c>
      <c r="B1" s="13"/>
      <c r="C1" s="13"/>
      <c r="D1" s="13"/>
      <c r="E1" s="14"/>
      <c r="F1" s="13"/>
      <c r="G1" s="13"/>
      <c r="H1" s="49"/>
      <c r="I1" s="49"/>
      <c r="P1" s="49" t="s">
        <v>87</v>
      </c>
      <c r="Q1" s="49"/>
      <c r="S1" s="51"/>
    </row>
    <row r="2" spans="1:19" ht="15.75">
      <c r="A2" s="13"/>
      <c r="B2" s="13"/>
      <c r="C2" s="13"/>
      <c r="D2" s="13"/>
      <c r="E2" s="14"/>
      <c r="F2" s="13"/>
      <c r="G2" s="13"/>
      <c r="H2" s="49"/>
      <c r="I2" s="49"/>
      <c r="P2" s="49"/>
      <c r="Q2" s="49"/>
      <c r="R2" s="40" t="s">
        <v>79</v>
      </c>
      <c r="S2" s="51"/>
    </row>
    <row r="3" spans="1:19" ht="15.75">
      <c r="A3" s="13"/>
      <c r="B3" s="13"/>
      <c r="C3" s="13"/>
      <c r="D3" s="13"/>
      <c r="E3" s="14"/>
      <c r="F3" s="495"/>
      <c r="G3" s="495"/>
      <c r="H3" s="49"/>
      <c r="I3" s="49"/>
      <c r="P3" s="49" t="s">
        <v>211</v>
      </c>
      <c r="R3" s="49"/>
      <c r="S3" s="331" t="s">
        <v>221</v>
      </c>
    </row>
    <row r="5" spans="1:19" ht="12.75">
      <c r="A5" s="534" t="s">
        <v>96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</row>
    <row r="6" spans="1:19" ht="12.75">
      <c r="A6" s="534" t="s">
        <v>9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</row>
    <row r="7" spans="1:19" ht="12.75">
      <c r="A7" s="534" t="s">
        <v>242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52"/>
      <c r="L8" s="39"/>
      <c r="M8" s="39"/>
      <c r="N8" s="39"/>
      <c r="O8" s="39"/>
      <c r="P8" s="39"/>
      <c r="Q8" s="39"/>
      <c r="R8" s="39"/>
      <c r="S8" s="39"/>
    </row>
    <row r="9" spans="1:19" ht="12.75">
      <c r="A9" s="534" t="s">
        <v>0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</row>
    <row r="10" spans="1:19" ht="12.75">
      <c r="A10" s="534" t="s">
        <v>249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</row>
    <row r="11" spans="1:19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41" t="s">
        <v>61</v>
      </c>
      <c r="C12" s="39"/>
      <c r="D12" s="39">
        <v>8999</v>
      </c>
      <c r="E12" s="4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 hidden="1">
      <c r="A13" s="39"/>
      <c r="B13" s="41" t="s">
        <v>195</v>
      </c>
      <c r="C13" s="39"/>
      <c r="D13" s="39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 hidden="1">
      <c r="A14" s="39"/>
      <c r="B14" s="41" t="s">
        <v>62</v>
      </c>
      <c r="C14" s="39"/>
      <c r="D14" s="39">
        <f>D12*D13</f>
        <v>8999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9"/>
      <c r="B15" s="41" t="s">
        <v>190</v>
      </c>
      <c r="C15" s="39"/>
      <c r="D15" s="39">
        <v>25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9"/>
      <c r="B16" s="41" t="s">
        <v>191</v>
      </c>
      <c r="C16" s="39"/>
      <c r="D16" s="39">
        <v>18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9"/>
      <c r="B17" s="41" t="s">
        <v>179</v>
      </c>
      <c r="C17" s="39"/>
      <c r="D17" s="39">
        <f>D15*D16</f>
        <v>450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1" ht="12.75">
      <c r="A18" s="39"/>
      <c r="B18" s="41" t="s">
        <v>63</v>
      </c>
      <c r="D18" s="42">
        <f>ROUND(D14/D17/4,2)</f>
        <v>5</v>
      </c>
      <c r="K18" s="40"/>
    </row>
    <row r="19" ht="12.75">
      <c r="A19" s="39"/>
    </row>
    <row r="20" spans="1:5" ht="12.75">
      <c r="A20" s="53">
        <v>1</v>
      </c>
      <c r="B20" s="41" t="str">
        <f>доходы!B11</f>
        <v>Танцевальная студия - 1</v>
      </c>
      <c r="C20" s="39"/>
      <c r="D20" s="39"/>
      <c r="E20" s="39"/>
    </row>
    <row r="21" ht="12" customHeight="1" thickBot="1"/>
    <row r="22" spans="1:19" s="39" customFormat="1" ht="57" customHeight="1" thickBot="1">
      <c r="A22" s="54" t="s">
        <v>1</v>
      </c>
      <c r="B22" s="54" t="s">
        <v>2</v>
      </c>
      <c r="C22" s="54" t="s">
        <v>8</v>
      </c>
      <c r="D22" s="54" t="s">
        <v>3</v>
      </c>
      <c r="E22" s="54" t="s">
        <v>214</v>
      </c>
      <c r="F22" s="54" t="s">
        <v>215</v>
      </c>
      <c r="G22" s="54" t="s">
        <v>216</v>
      </c>
      <c r="H22" s="54" t="s">
        <v>117</v>
      </c>
      <c r="I22" s="54" t="s">
        <v>99</v>
      </c>
      <c r="J22" s="54" t="s">
        <v>213</v>
      </c>
      <c r="K22" s="55" t="s">
        <v>66</v>
      </c>
      <c r="L22" s="54" t="s">
        <v>67</v>
      </c>
      <c r="M22" s="54" t="s">
        <v>6</v>
      </c>
      <c r="N22" s="54" t="s">
        <v>54</v>
      </c>
      <c r="O22" s="54" t="s">
        <v>7</v>
      </c>
      <c r="P22" s="54" t="s">
        <v>48</v>
      </c>
      <c r="Q22" s="54" t="s">
        <v>49</v>
      </c>
      <c r="R22" s="54" t="s">
        <v>50</v>
      </c>
      <c r="S22" s="54" t="s">
        <v>51</v>
      </c>
    </row>
    <row r="23" spans="1:19" s="39" customFormat="1" ht="13.5" thickBot="1">
      <c r="A23" s="56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8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9">
        <v>19</v>
      </c>
    </row>
    <row r="24" spans="1:19" s="68" customFormat="1" ht="39.75" thickBot="1" thickTop="1">
      <c r="A24" s="60">
        <v>1</v>
      </c>
      <c r="B24" s="61" t="s">
        <v>231</v>
      </c>
      <c r="C24" s="62" t="s">
        <v>180</v>
      </c>
      <c r="D24" s="61" t="str">
        <f>B$20</f>
        <v>Танцевальная студия - 1</v>
      </c>
      <c r="E24" s="63">
        <f>ROUND(O24/18/4,2)</f>
        <v>0.11</v>
      </c>
      <c r="F24" s="63">
        <v>8999</v>
      </c>
      <c r="G24" s="110">
        <f>E24*F24</f>
        <v>989.89</v>
      </c>
      <c r="H24" s="64">
        <v>0</v>
      </c>
      <c r="I24" s="64">
        <v>0</v>
      </c>
      <c r="J24" s="372">
        <f>K24/G24</f>
        <v>21.336</v>
      </c>
      <c r="K24" s="65">
        <f>N24*O24*P24</f>
        <v>21120</v>
      </c>
      <c r="L24" s="63">
        <f>18*25*4</f>
        <v>1800</v>
      </c>
      <c r="M24" s="63">
        <f>N24*O24</f>
        <v>480</v>
      </c>
      <c r="N24" s="63">
        <v>60</v>
      </c>
      <c r="O24" s="63">
        <v>8</v>
      </c>
      <c r="P24" s="66">
        <v>44</v>
      </c>
      <c r="Q24" s="65">
        <f>N24*O24*P24</f>
        <v>21120</v>
      </c>
      <c r="R24" s="65">
        <f>Q24*0.15</f>
        <v>3168</v>
      </c>
      <c r="S24" s="67">
        <f>Q24+R24</f>
        <v>24288</v>
      </c>
    </row>
    <row r="25" spans="1:19" ht="12.75" hidden="1">
      <c r="A25" s="69">
        <v>2</v>
      </c>
      <c r="B25" s="70"/>
      <c r="C25" s="71" t="s">
        <v>52</v>
      </c>
      <c r="D25" s="72" t="str">
        <f aca="true" t="shared" si="0" ref="D25:D33">B$20</f>
        <v>Танцевальная студия - 1</v>
      </c>
      <c r="E25" s="71"/>
      <c r="F25" s="71">
        <f aca="true" t="shared" si="1" ref="F25:F33">ROUND(O25/18/4,2)</f>
        <v>0</v>
      </c>
      <c r="G25" s="71">
        <v>7570</v>
      </c>
      <c r="H25" s="73">
        <f>H$24</f>
        <v>0</v>
      </c>
      <c r="I25" s="73">
        <v>0</v>
      </c>
      <c r="J25" s="71"/>
      <c r="K25" s="74">
        <f aca="true" t="shared" si="2" ref="K25:K33">(G25+G25*(H25+I25))*J25</f>
        <v>0</v>
      </c>
      <c r="L25" s="71">
        <f aca="true" t="shared" si="3" ref="L25:L33">18*25*4</f>
        <v>1800</v>
      </c>
      <c r="M25" s="71">
        <f aca="true" t="shared" si="4" ref="M25:M33">N25*O25</f>
        <v>0</v>
      </c>
      <c r="N25" s="71"/>
      <c r="O25" s="71"/>
      <c r="P25" s="75">
        <f aca="true" t="shared" si="5" ref="P25:P33">ROUND(K25/L25,2)</f>
        <v>0</v>
      </c>
      <c r="Q25" s="74">
        <f aca="true" t="shared" si="6" ref="Q25:Q33">N25*O25*P25</f>
        <v>0</v>
      </c>
      <c r="R25" s="74">
        <f aca="true" t="shared" si="7" ref="R25:R33">Q25*0.15</f>
        <v>0</v>
      </c>
      <c r="S25" s="76">
        <f aca="true" t="shared" si="8" ref="S25:S33">Q25+R25</f>
        <v>0</v>
      </c>
    </row>
    <row r="26" spans="1:19" ht="12.75" hidden="1">
      <c r="A26" s="69">
        <v>3</v>
      </c>
      <c r="B26" s="70"/>
      <c r="C26" s="71" t="s">
        <v>52</v>
      </c>
      <c r="D26" s="72" t="str">
        <f t="shared" si="0"/>
        <v>Танцевальная студия - 1</v>
      </c>
      <c r="E26" s="71"/>
      <c r="F26" s="71">
        <f t="shared" si="1"/>
        <v>0</v>
      </c>
      <c r="G26" s="71">
        <v>7570</v>
      </c>
      <c r="H26" s="73">
        <f aca="true" t="shared" si="9" ref="H26:H33">H$24</f>
        <v>0</v>
      </c>
      <c r="I26" s="73"/>
      <c r="J26" s="71"/>
      <c r="K26" s="74">
        <f t="shared" si="2"/>
        <v>0</v>
      </c>
      <c r="L26" s="71">
        <f t="shared" si="3"/>
        <v>1800</v>
      </c>
      <c r="M26" s="71">
        <f t="shared" si="4"/>
        <v>0</v>
      </c>
      <c r="N26" s="71"/>
      <c r="O26" s="71"/>
      <c r="P26" s="75">
        <f t="shared" si="5"/>
        <v>0</v>
      </c>
      <c r="Q26" s="74">
        <f t="shared" si="6"/>
        <v>0</v>
      </c>
      <c r="R26" s="74">
        <f t="shared" si="7"/>
        <v>0</v>
      </c>
      <c r="S26" s="76">
        <f t="shared" si="8"/>
        <v>0</v>
      </c>
    </row>
    <row r="27" spans="1:19" ht="12.75" hidden="1">
      <c r="A27" s="69">
        <v>4</v>
      </c>
      <c r="B27" s="70"/>
      <c r="C27" s="71" t="s">
        <v>52</v>
      </c>
      <c r="D27" s="72" t="str">
        <f t="shared" si="0"/>
        <v>Танцевальная студия - 1</v>
      </c>
      <c r="E27" s="71"/>
      <c r="F27" s="71">
        <f t="shared" si="1"/>
        <v>0</v>
      </c>
      <c r="G27" s="71">
        <v>7570</v>
      </c>
      <c r="H27" s="73">
        <f t="shared" si="9"/>
        <v>0</v>
      </c>
      <c r="I27" s="73"/>
      <c r="J27" s="71"/>
      <c r="K27" s="74">
        <f t="shared" si="2"/>
        <v>0</v>
      </c>
      <c r="L27" s="71">
        <f t="shared" si="3"/>
        <v>1800</v>
      </c>
      <c r="M27" s="71">
        <f t="shared" si="4"/>
        <v>0</v>
      </c>
      <c r="N27" s="71"/>
      <c r="O27" s="71"/>
      <c r="P27" s="75">
        <f t="shared" si="5"/>
        <v>0</v>
      </c>
      <c r="Q27" s="74">
        <f t="shared" si="6"/>
        <v>0</v>
      </c>
      <c r="R27" s="74">
        <f t="shared" si="7"/>
        <v>0</v>
      </c>
      <c r="S27" s="76">
        <f t="shared" si="8"/>
        <v>0</v>
      </c>
    </row>
    <row r="28" spans="1:19" ht="12.75" hidden="1">
      <c r="A28" s="69">
        <v>5</v>
      </c>
      <c r="B28" s="70"/>
      <c r="C28" s="71" t="s">
        <v>52</v>
      </c>
      <c r="D28" s="72" t="str">
        <f t="shared" si="0"/>
        <v>Танцевальная студия - 1</v>
      </c>
      <c r="E28" s="71"/>
      <c r="F28" s="71">
        <f t="shared" si="1"/>
        <v>0</v>
      </c>
      <c r="G28" s="71">
        <v>7570</v>
      </c>
      <c r="H28" s="73">
        <f t="shared" si="9"/>
        <v>0</v>
      </c>
      <c r="I28" s="73"/>
      <c r="J28" s="71"/>
      <c r="K28" s="74">
        <f t="shared" si="2"/>
        <v>0</v>
      </c>
      <c r="L28" s="71">
        <f t="shared" si="3"/>
        <v>1800</v>
      </c>
      <c r="M28" s="71">
        <f t="shared" si="4"/>
        <v>0</v>
      </c>
      <c r="N28" s="71"/>
      <c r="O28" s="71"/>
      <c r="P28" s="75">
        <f t="shared" si="5"/>
        <v>0</v>
      </c>
      <c r="Q28" s="74">
        <f t="shared" si="6"/>
        <v>0</v>
      </c>
      <c r="R28" s="74">
        <f t="shared" si="7"/>
        <v>0</v>
      </c>
      <c r="S28" s="76">
        <f t="shared" si="8"/>
        <v>0</v>
      </c>
    </row>
    <row r="29" spans="1:19" ht="12.75" hidden="1">
      <c r="A29" s="69">
        <v>6</v>
      </c>
      <c r="B29" s="70"/>
      <c r="C29" s="71" t="s">
        <v>52</v>
      </c>
      <c r="D29" s="72" t="str">
        <f t="shared" si="0"/>
        <v>Танцевальная студия - 1</v>
      </c>
      <c r="E29" s="71"/>
      <c r="F29" s="71">
        <f t="shared" si="1"/>
        <v>0</v>
      </c>
      <c r="G29" s="71">
        <v>7570</v>
      </c>
      <c r="H29" s="73">
        <f t="shared" si="9"/>
        <v>0</v>
      </c>
      <c r="I29" s="73"/>
      <c r="J29" s="71"/>
      <c r="K29" s="74">
        <f t="shared" si="2"/>
        <v>0</v>
      </c>
      <c r="L29" s="71">
        <f t="shared" si="3"/>
        <v>1800</v>
      </c>
      <c r="M29" s="71">
        <f t="shared" si="4"/>
        <v>0</v>
      </c>
      <c r="N29" s="71"/>
      <c r="O29" s="71"/>
      <c r="P29" s="75">
        <f t="shared" si="5"/>
        <v>0</v>
      </c>
      <c r="Q29" s="74">
        <f t="shared" si="6"/>
        <v>0</v>
      </c>
      <c r="R29" s="74">
        <f t="shared" si="7"/>
        <v>0</v>
      </c>
      <c r="S29" s="76">
        <f t="shared" si="8"/>
        <v>0</v>
      </c>
    </row>
    <row r="30" spans="1:19" ht="12.75" hidden="1">
      <c r="A30" s="69">
        <v>7</v>
      </c>
      <c r="B30" s="70"/>
      <c r="C30" s="71" t="s">
        <v>52</v>
      </c>
      <c r="D30" s="72" t="str">
        <f t="shared" si="0"/>
        <v>Танцевальная студия - 1</v>
      </c>
      <c r="E30" s="71"/>
      <c r="F30" s="71">
        <f t="shared" si="1"/>
        <v>0</v>
      </c>
      <c r="G30" s="71">
        <v>7570</v>
      </c>
      <c r="H30" s="73">
        <f t="shared" si="9"/>
        <v>0</v>
      </c>
      <c r="I30" s="73"/>
      <c r="J30" s="71"/>
      <c r="K30" s="74">
        <f t="shared" si="2"/>
        <v>0</v>
      </c>
      <c r="L30" s="71">
        <f t="shared" si="3"/>
        <v>1800</v>
      </c>
      <c r="M30" s="71">
        <f t="shared" si="4"/>
        <v>0</v>
      </c>
      <c r="N30" s="71"/>
      <c r="O30" s="71"/>
      <c r="P30" s="75">
        <f t="shared" si="5"/>
        <v>0</v>
      </c>
      <c r="Q30" s="74">
        <f t="shared" si="6"/>
        <v>0</v>
      </c>
      <c r="R30" s="74">
        <f t="shared" si="7"/>
        <v>0</v>
      </c>
      <c r="S30" s="76">
        <f t="shared" si="8"/>
        <v>0</v>
      </c>
    </row>
    <row r="31" spans="1:19" ht="12.75" hidden="1">
      <c r="A31" s="69">
        <v>8</v>
      </c>
      <c r="B31" s="70"/>
      <c r="C31" s="71" t="s">
        <v>52</v>
      </c>
      <c r="D31" s="72" t="str">
        <f t="shared" si="0"/>
        <v>Танцевальная студия - 1</v>
      </c>
      <c r="E31" s="71"/>
      <c r="F31" s="71">
        <f t="shared" si="1"/>
        <v>0</v>
      </c>
      <c r="G31" s="71">
        <v>7570</v>
      </c>
      <c r="H31" s="73">
        <f t="shared" si="9"/>
        <v>0</v>
      </c>
      <c r="I31" s="73"/>
      <c r="J31" s="71"/>
      <c r="K31" s="74">
        <f t="shared" si="2"/>
        <v>0</v>
      </c>
      <c r="L31" s="71">
        <f t="shared" si="3"/>
        <v>1800</v>
      </c>
      <c r="M31" s="71">
        <f t="shared" si="4"/>
        <v>0</v>
      </c>
      <c r="N31" s="71"/>
      <c r="O31" s="71"/>
      <c r="P31" s="75">
        <f t="shared" si="5"/>
        <v>0</v>
      </c>
      <c r="Q31" s="74">
        <f t="shared" si="6"/>
        <v>0</v>
      </c>
      <c r="R31" s="74">
        <f t="shared" si="7"/>
        <v>0</v>
      </c>
      <c r="S31" s="76">
        <f t="shared" si="8"/>
        <v>0</v>
      </c>
    </row>
    <row r="32" spans="1:19" ht="12.75" hidden="1">
      <c r="A32" s="69">
        <v>9</v>
      </c>
      <c r="B32" s="70"/>
      <c r="C32" s="71" t="s">
        <v>52</v>
      </c>
      <c r="D32" s="72" t="str">
        <f t="shared" si="0"/>
        <v>Танцевальная студия - 1</v>
      </c>
      <c r="E32" s="71"/>
      <c r="F32" s="71">
        <f t="shared" si="1"/>
        <v>0</v>
      </c>
      <c r="G32" s="71">
        <v>7570</v>
      </c>
      <c r="H32" s="73">
        <f t="shared" si="9"/>
        <v>0</v>
      </c>
      <c r="I32" s="73"/>
      <c r="J32" s="71"/>
      <c r="K32" s="74">
        <f t="shared" si="2"/>
        <v>0</v>
      </c>
      <c r="L32" s="71">
        <f t="shared" si="3"/>
        <v>1800</v>
      </c>
      <c r="M32" s="71">
        <f t="shared" si="4"/>
        <v>0</v>
      </c>
      <c r="N32" s="71"/>
      <c r="O32" s="71"/>
      <c r="P32" s="75">
        <f t="shared" si="5"/>
        <v>0</v>
      </c>
      <c r="Q32" s="74">
        <f t="shared" si="6"/>
        <v>0</v>
      </c>
      <c r="R32" s="74">
        <f t="shared" si="7"/>
        <v>0</v>
      </c>
      <c r="S32" s="76">
        <f t="shared" si="8"/>
        <v>0</v>
      </c>
    </row>
    <row r="33" spans="1:19" ht="13.5" hidden="1" thickBot="1">
      <c r="A33" s="77">
        <v>10</v>
      </c>
      <c r="B33" s="78"/>
      <c r="C33" s="79" t="s">
        <v>52</v>
      </c>
      <c r="D33" s="80" t="str">
        <f t="shared" si="0"/>
        <v>Танцевальная студия - 1</v>
      </c>
      <c r="E33" s="79"/>
      <c r="F33" s="79">
        <f t="shared" si="1"/>
        <v>0</v>
      </c>
      <c r="G33" s="79">
        <v>7570</v>
      </c>
      <c r="H33" s="81">
        <f t="shared" si="9"/>
        <v>0</v>
      </c>
      <c r="I33" s="81"/>
      <c r="J33" s="79"/>
      <c r="K33" s="82">
        <f t="shared" si="2"/>
        <v>0</v>
      </c>
      <c r="L33" s="79">
        <f t="shared" si="3"/>
        <v>1800</v>
      </c>
      <c r="M33" s="79">
        <f t="shared" si="4"/>
        <v>0</v>
      </c>
      <c r="N33" s="79"/>
      <c r="O33" s="79"/>
      <c r="P33" s="83">
        <f t="shared" si="5"/>
        <v>0</v>
      </c>
      <c r="Q33" s="82">
        <f t="shared" si="6"/>
        <v>0</v>
      </c>
      <c r="R33" s="82">
        <f t="shared" si="7"/>
        <v>0</v>
      </c>
      <c r="S33" s="84">
        <f t="shared" si="8"/>
        <v>0</v>
      </c>
    </row>
    <row r="34" spans="1:19" s="39" customFormat="1" ht="13.5" thickBot="1">
      <c r="A34" s="85"/>
      <c r="B34" s="86"/>
      <c r="C34" s="86"/>
      <c r="D34" s="86" t="s">
        <v>53</v>
      </c>
      <c r="E34" s="86"/>
      <c r="F34" s="87">
        <f>SUM(F24:F33)</f>
        <v>8999</v>
      </c>
      <c r="G34" s="86"/>
      <c r="H34" s="86"/>
      <c r="I34" s="86"/>
      <c r="J34" s="86"/>
      <c r="K34" s="88"/>
      <c r="L34" s="86"/>
      <c r="M34" s="89">
        <f>SUM(M24:M33)</f>
        <v>480</v>
      </c>
      <c r="N34" s="89">
        <f>SUM(N24:N33)</f>
        <v>60</v>
      </c>
      <c r="O34" s="89">
        <f>SUM(O24:O33)</f>
        <v>8</v>
      </c>
      <c r="P34" s="86"/>
      <c r="Q34" s="87">
        <f>SUM(Q24:Q33)</f>
        <v>21120</v>
      </c>
      <c r="R34" s="87">
        <f>SUM(R24:R33)</f>
        <v>3168</v>
      </c>
      <c r="S34" s="90">
        <f>SUM(S24:S33)</f>
        <v>24288</v>
      </c>
    </row>
    <row r="35" spans="1:19" s="39" customFormat="1" ht="12.75">
      <c r="A35" s="91"/>
      <c r="B35" s="92"/>
      <c r="C35" s="92"/>
      <c r="D35" s="92"/>
      <c r="E35" s="92"/>
      <c r="F35" s="93"/>
      <c r="G35" s="92"/>
      <c r="H35" s="92"/>
      <c r="I35" s="92"/>
      <c r="J35" s="92"/>
      <c r="K35" s="94"/>
      <c r="L35" s="92"/>
      <c r="M35" s="95"/>
      <c r="N35" s="95">
        <f>доходы!C11</f>
        <v>60</v>
      </c>
      <c r="O35" s="96" t="s">
        <v>116</v>
      </c>
      <c r="P35" s="92"/>
      <c r="Q35" s="97"/>
      <c r="R35" s="98"/>
      <c r="S35" s="98"/>
    </row>
    <row r="36" spans="1:19" s="39" customFormat="1" ht="12.75">
      <c r="A36" s="53" t="s">
        <v>98</v>
      </c>
      <c r="B36" s="41" t="str">
        <f>доходы!B13</f>
        <v>Творческая студия</v>
      </c>
      <c r="F36" s="40"/>
      <c r="G36" s="40"/>
      <c r="H36" s="40"/>
      <c r="I36" s="40"/>
      <c r="J36" s="40"/>
      <c r="K36" s="50"/>
      <c r="L36" s="40"/>
      <c r="M36" s="40"/>
      <c r="N36" s="40"/>
      <c r="O36" s="40"/>
      <c r="P36" s="40"/>
      <c r="Q36" s="40"/>
      <c r="R36" s="40"/>
      <c r="S36" s="40"/>
    </row>
    <row r="37" spans="1:19" s="39" customFormat="1" ht="13.5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50"/>
      <c r="L37" s="40"/>
      <c r="M37" s="40"/>
      <c r="N37" s="40"/>
      <c r="O37" s="40"/>
      <c r="P37" s="40"/>
      <c r="Q37" s="40"/>
      <c r="R37" s="40"/>
      <c r="S37" s="40"/>
    </row>
    <row r="38" spans="1:19" s="39" customFormat="1" ht="51.75" thickBot="1">
      <c r="A38" s="99" t="s">
        <v>1</v>
      </c>
      <c r="B38" s="99" t="s">
        <v>2</v>
      </c>
      <c r="C38" s="99" t="s">
        <v>8</v>
      </c>
      <c r="D38" s="99" t="s">
        <v>3</v>
      </c>
      <c r="E38" s="54" t="s">
        <v>214</v>
      </c>
      <c r="F38" s="54" t="s">
        <v>215</v>
      </c>
      <c r="G38" s="54" t="s">
        <v>216</v>
      </c>
      <c r="H38" s="54" t="s">
        <v>117</v>
      </c>
      <c r="I38" s="54" t="s">
        <v>99</v>
      </c>
      <c r="J38" s="54" t="s">
        <v>213</v>
      </c>
      <c r="K38" s="55" t="s">
        <v>66</v>
      </c>
      <c r="L38" s="54" t="s">
        <v>67</v>
      </c>
      <c r="M38" s="54" t="s">
        <v>6</v>
      </c>
      <c r="N38" s="99" t="s">
        <v>54</v>
      </c>
      <c r="O38" s="99" t="s">
        <v>7</v>
      </c>
      <c r="P38" s="99" t="s">
        <v>48</v>
      </c>
      <c r="Q38" s="99" t="s">
        <v>49</v>
      </c>
      <c r="R38" s="99" t="s">
        <v>50</v>
      </c>
      <c r="S38" s="99" t="s">
        <v>51</v>
      </c>
    </row>
    <row r="39" spans="1:19" s="39" customFormat="1" ht="13.5" thickBot="1">
      <c r="A39" s="101">
        <v>1</v>
      </c>
      <c r="B39" s="102">
        <v>2</v>
      </c>
      <c r="C39" s="103">
        <v>3</v>
      </c>
      <c r="D39" s="102">
        <v>4</v>
      </c>
      <c r="E39" s="57">
        <v>5</v>
      </c>
      <c r="F39" s="57">
        <v>6</v>
      </c>
      <c r="G39" s="57">
        <v>7</v>
      </c>
      <c r="H39" s="57">
        <v>8</v>
      </c>
      <c r="I39" s="57">
        <v>9</v>
      </c>
      <c r="J39" s="57">
        <v>10</v>
      </c>
      <c r="K39" s="58">
        <v>11</v>
      </c>
      <c r="L39" s="57">
        <v>12</v>
      </c>
      <c r="M39" s="57">
        <v>13</v>
      </c>
      <c r="N39" s="102">
        <v>14</v>
      </c>
      <c r="O39" s="103">
        <v>15</v>
      </c>
      <c r="P39" s="102">
        <v>16</v>
      </c>
      <c r="Q39" s="102">
        <v>17</v>
      </c>
      <c r="R39" s="102">
        <v>18</v>
      </c>
      <c r="S39" s="105">
        <v>19</v>
      </c>
    </row>
    <row r="40" spans="1:19" s="112" customFormat="1" ht="40.5" customHeight="1" thickTop="1">
      <c r="A40" s="106">
        <v>1</v>
      </c>
      <c r="B40" s="107" t="s">
        <v>232</v>
      </c>
      <c r="C40" s="62" t="s">
        <v>180</v>
      </c>
      <c r="D40" s="108" t="str">
        <f>B$36</f>
        <v>Творческая студия</v>
      </c>
      <c r="E40" s="63">
        <f>ROUND(O40/18/4,2)</f>
        <v>0.11</v>
      </c>
      <c r="F40" s="63">
        <f>D12</f>
        <v>8999</v>
      </c>
      <c r="G40" s="110">
        <f>E40*F40</f>
        <v>989.89</v>
      </c>
      <c r="H40" s="64">
        <v>0</v>
      </c>
      <c r="I40" s="64">
        <v>0</v>
      </c>
      <c r="J40" s="372">
        <f>K40/G40</f>
        <v>12.048</v>
      </c>
      <c r="K40" s="65">
        <f>N40*O40*P40</f>
        <v>11926</v>
      </c>
      <c r="L40" s="63">
        <f>18*25*4</f>
        <v>1800</v>
      </c>
      <c r="M40" s="63">
        <f>N40*O40</f>
        <v>200</v>
      </c>
      <c r="N40" s="106">
        <v>25</v>
      </c>
      <c r="O40" s="63">
        <v>8</v>
      </c>
      <c r="P40" s="111">
        <v>59.63</v>
      </c>
      <c r="Q40" s="110">
        <f>N40*O40*P40</f>
        <v>11926</v>
      </c>
      <c r="R40" s="110">
        <f>Q40*0.15</f>
        <v>1788.9</v>
      </c>
      <c r="S40" s="110">
        <f>Q40+R40</f>
        <v>13714.9</v>
      </c>
    </row>
    <row r="41" spans="1:19" s="39" customFormat="1" ht="12.75" hidden="1">
      <c r="A41" s="71">
        <v>2</v>
      </c>
      <c r="B41" s="70"/>
      <c r="C41" s="71" t="s">
        <v>52</v>
      </c>
      <c r="D41" s="72" t="str">
        <f aca="true" t="shared" si="10" ref="D41:D49">B$36</f>
        <v>Творческая студия</v>
      </c>
      <c r="E41" s="71"/>
      <c r="F41" s="71">
        <f aca="true" t="shared" si="11" ref="F41:F49">ROUND(O41/18/4,2)</f>
        <v>0</v>
      </c>
      <c r="G41" s="71">
        <v>7570</v>
      </c>
      <c r="H41" s="73">
        <f>H$24</f>
        <v>0</v>
      </c>
      <c r="I41" s="73">
        <v>0</v>
      </c>
      <c r="J41" s="71"/>
      <c r="K41" s="74">
        <f aca="true" t="shared" si="12" ref="K41:K49">(G41+G41*(H41+I41))*J41</f>
        <v>0</v>
      </c>
      <c r="L41" s="71">
        <f aca="true" t="shared" si="13" ref="L41:L49">18*25*4</f>
        <v>1800</v>
      </c>
      <c r="M41" s="71">
        <f aca="true" t="shared" si="14" ref="M41:M49">N41*O41</f>
        <v>0</v>
      </c>
      <c r="N41" s="71"/>
      <c r="O41" s="71"/>
      <c r="P41" s="75">
        <f aca="true" t="shared" si="15" ref="P41:P49">ROUND(K41/L41,2)</f>
        <v>0</v>
      </c>
      <c r="Q41" s="74">
        <f aca="true" t="shared" si="16" ref="Q41:Q49">N41*O41*P41</f>
        <v>0</v>
      </c>
      <c r="R41" s="74">
        <f aca="true" t="shared" si="17" ref="R41:R49">Q41*0.15</f>
        <v>0</v>
      </c>
      <c r="S41" s="74">
        <f aca="true" t="shared" si="18" ref="S41:S49">Q41+R41</f>
        <v>0</v>
      </c>
    </row>
    <row r="42" spans="1:19" s="39" customFormat="1" ht="12.75" hidden="1">
      <c r="A42" s="71">
        <v>3</v>
      </c>
      <c r="B42" s="70"/>
      <c r="C42" s="71" t="s">
        <v>52</v>
      </c>
      <c r="D42" s="72" t="str">
        <f t="shared" si="10"/>
        <v>Творческая студия</v>
      </c>
      <c r="E42" s="71"/>
      <c r="F42" s="71">
        <f t="shared" si="11"/>
        <v>0</v>
      </c>
      <c r="G42" s="71">
        <v>7570</v>
      </c>
      <c r="H42" s="73">
        <f aca="true" t="shared" si="19" ref="H42:H49">H$24</f>
        <v>0</v>
      </c>
      <c r="I42" s="73"/>
      <c r="J42" s="71"/>
      <c r="K42" s="74">
        <f t="shared" si="12"/>
        <v>0</v>
      </c>
      <c r="L42" s="71">
        <f t="shared" si="13"/>
        <v>1800</v>
      </c>
      <c r="M42" s="71">
        <f t="shared" si="14"/>
        <v>0</v>
      </c>
      <c r="N42" s="71"/>
      <c r="O42" s="71"/>
      <c r="P42" s="75">
        <f t="shared" si="15"/>
        <v>0</v>
      </c>
      <c r="Q42" s="74">
        <f t="shared" si="16"/>
        <v>0</v>
      </c>
      <c r="R42" s="74">
        <f t="shared" si="17"/>
        <v>0</v>
      </c>
      <c r="S42" s="74">
        <f t="shared" si="18"/>
        <v>0</v>
      </c>
    </row>
    <row r="43" spans="1:19" s="39" customFormat="1" ht="12.75" hidden="1">
      <c r="A43" s="71">
        <v>4</v>
      </c>
      <c r="B43" s="70"/>
      <c r="C43" s="71" t="s">
        <v>52</v>
      </c>
      <c r="D43" s="72" t="str">
        <f t="shared" si="10"/>
        <v>Творческая студия</v>
      </c>
      <c r="E43" s="71"/>
      <c r="F43" s="71">
        <f t="shared" si="11"/>
        <v>0</v>
      </c>
      <c r="G43" s="71">
        <v>7570</v>
      </c>
      <c r="H43" s="73">
        <f t="shared" si="19"/>
        <v>0</v>
      </c>
      <c r="I43" s="73"/>
      <c r="J43" s="71"/>
      <c r="K43" s="74">
        <f t="shared" si="12"/>
        <v>0</v>
      </c>
      <c r="L43" s="71">
        <f t="shared" si="13"/>
        <v>1800</v>
      </c>
      <c r="M43" s="71">
        <f t="shared" si="14"/>
        <v>0</v>
      </c>
      <c r="N43" s="71"/>
      <c r="O43" s="71"/>
      <c r="P43" s="75">
        <f t="shared" si="15"/>
        <v>0</v>
      </c>
      <c r="Q43" s="74">
        <f t="shared" si="16"/>
        <v>0</v>
      </c>
      <c r="R43" s="74">
        <f t="shared" si="17"/>
        <v>0</v>
      </c>
      <c r="S43" s="74">
        <f t="shared" si="18"/>
        <v>0</v>
      </c>
    </row>
    <row r="44" spans="1:19" s="39" customFormat="1" ht="12.75" hidden="1">
      <c r="A44" s="71">
        <v>5</v>
      </c>
      <c r="B44" s="70"/>
      <c r="C44" s="71" t="s">
        <v>52</v>
      </c>
      <c r="D44" s="72" t="str">
        <f t="shared" si="10"/>
        <v>Творческая студия</v>
      </c>
      <c r="E44" s="71"/>
      <c r="F44" s="71">
        <f t="shared" si="11"/>
        <v>0</v>
      </c>
      <c r="G44" s="71">
        <v>7570</v>
      </c>
      <c r="H44" s="73">
        <f t="shared" si="19"/>
        <v>0</v>
      </c>
      <c r="I44" s="73"/>
      <c r="J44" s="71"/>
      <c r="K44" s="74">
        <f t="shared" si="12"/>
        <v>0</v>
      </c>
      <c r="L44" s="71">
        <f t="shared" si="13"/>
        <v>1800</v>
      </c>
      <c r="M44" s="71">
        <f t="shared" si="14"/>
        <v>0</v>
      </c>
      <c r="N44" s="71"/>
      <c r="O44" s="71"/>
      <c r="P44" s="75">
        <f t="shared" si="15"/>
        <v>0</v>
      </c>
      <c r="Q44" s="74">
        <f t="shared" si="16"/>
        <v>0</v>
      </c>
      <c r="R44" s="74">
        <f t="shared" si="17"/>
        <v>0</v>
      </c>
      <c r="S44" s="74">
        <f t="shared" si="18"/>
        <v>0</v>
      </c>
    </row>
    <row r="45" spans="1:19" s="39" customFormat="1" ht="12.75" hidden="1">
      <c r="A45" s="71">
        <v>6</v>
      </c>
      <c r="B45" s="70"/>
      <c r="C45" s="71" t="s">
        <v>52</v>
      </c>
      <c r="D45" s="72" t="str">
        <f t="shared" si="10"/>
        <v>Творческая студия</v>
      </c>
      <c r="E45" s="71"/>
      <c r="F45" s="71">
        <f t="shared" si="11"/>
        <v>0</v>
      </c>
      <c r="G45" s="71">
        <v>7570</v>
      </c>
      <c r="H45" s="73">
        <f t="shared" si="19"/>
        <v>0</v>
      </c>
      <c r="I45" s="73"/>
      <c r="J45" s="71"/>
      <c r="K45" s="74">
        <f t="shared" si="12"/>
        <v>0</v>
      </c>
      <c r="L45" s="71">
        <f t="shared" si="13"/>
        <v>1800</v>
      </c>
      <c r="M45" s="71">
        <f t="shared" si="14"/>
        <v>0</v>
      </c>
      <c r="N45" s="71"/>
      <c r="O45" s="71"/>
      <c r="P45" s="75">
        <f t="shared" si="15"/>
        <v>0</v>
      </c>
      <c r="Q45" s="74">
        <f t="shared" si="16"/>
        <v>0</v>
      </c>
      <c r="R45" s="74">
        <f t="shared" si="17"/>
        <v>0</v>
      </c>
      <c r="S45" s="74">
        <f t="shared" si="18"/>
        <v>0</v>
      </c>
    </row>
    <row r="46" spans="1:19" s="39" customFormat="1" ht="12.75" hidden="1">
      <c r="A46" s="71">
        <v>7</v>
      </c>
      <c r="B46" s="70"/>
      <c r="C46" s="71" t="s">
        <v>52</v>
      </c>
      <c r="D46" s="72" t="str">
        <f t="shared" si="10"/>
        <v>Творческая студия</v>
      </c>
      <c r="E46" s="71"/>
      <c r="F46" s="71">
        <f t="shared" si="11"/>
        <v>0</v>
      </c>
      <c r="G46" s="71">
        <v>7570</v>
      </c>
      <c r="H46" s="73">
        <f t="shared" si="19"/>
        <v>0</v>
      </c>
      <c r="I46" s="73"/>
      <c r="J46" s="71"/>
      <c r="K46" s="74">
        <f t="shared" si="12"/>
        <v>0</v>
      </c>
      <c r="L46" s="71">
        <f t="shared" si="13"/>
        <v>1800</v>
      </c>
      <c r="M46" s="71">
        <f t="shared" si="14"/>
        <v>0</v>
      </c>
      <c r="N46" s="71"/>
      <c r="O46" s="71"/>
      <c r="P46" s="75">
        <f t="shared" si="15"/>
        <v>0</v>
      </c>
      <c r="Q46" s="74">
        <f t="shared" si="16"/>
        <v>0</v>
      </c>
      <c r="R46" s="74">
        <f t="shared" si="17"/>
        <v>0</v>
      </c>
      <c r="S46" s="74">
        <f t="shared" si="18"/>
        <v>0</v>
      </c>
    </row>
    <row r="47" spans="1:19" s="39" customFormat="1" ht="12.75" hidden="1">
      <c r="A47" s="71">
        <v>8</v>
      </c>
      <c r="B47" s="70"/>
      <c r="C47" s="71" t="s">
        <v>52</v>
      </c>
      <c r="D47" s="72" t="str">
        <f t="shared" si="10"/>
        <v>Творческая студия</v>
      </c>
      <c r="E47" s="71"/>
      <c r="F47" s="71">
        <f t="shared" si="11"/>
        <v>0</v>
      </c>
      <c r="G47" s="71">
        <v>7570</v>
      </c>
      <c r="H47" s="73">
        <f t="shared" si="19"/>
        <v>0</v>
      </c>
      <c r="I47" s="73"/>
      <c r="J47" s="71"/>
      <c r="K47" s="74">
        <f t="shared" si="12"/>
        <v>0</v>
      </c>
      <c r="L47" s="71">
        <f t="shared" si="13"/>
        <v>1800</v>
      </c>
      <c r="M47" s="71">
        <f t="shared" si="14"/>
        <v>0</v>
      </c>
      <c r="N47" s="71"/>
      <c r="O47" s="71"/>
      <c r="P47" s="75">
        <f t="shared" si="15"/>
        <v>0</v>
      </c>
      <c r="Q47" s="74">
        <f t="shared" si="16"/>
        <v>0</v>
      </c>
      <c r="R47" s="74">
        <f t="shared" si="17"/>
        <v>0</v>
      </c>
      <c r="S47" s="74">
        <f t="shared" si="18"/>
        <v>0</v>
      </c>
    </row>
    <row r="48" spans="1:19" s="39" customFormat="1" ht="12.75" hidden="1">
      <c r="A48" s="71">
        <v>9</v>
      </c>
      <c r="B48" s="70"/>
      <c r="C48" s="71" t="s">
        <v>52</v>
      </c>
      <c r="D48" s="72" t="str">
        <f t="shared" si="10"/>
        <v>Творческая студия</v>
      </c>
      <c r="E48" s="71"/>
      <c r="F48" s="71">
        <f t="shared" si="11"/>
        <v>0</v>
      </c>
      <c r="G48" s="71">
        <v>7570</v>
      </c>
      <c r="H48" s="73">
        <f t="shared" si="19"/>
        <v>0</v>
      </c>
      <c r="I48" s="73"/>
      <c r="J48" s="71"/>
      <c r="K48" s="74">
        <f t="shared" si="12"/>
        <v>0</v>
      </c>
      <c r="L48" s="71">
        <f t="shared" si="13"/>
        <v>1800</v>
      </c>
      <c r="M48" s="71">
        <f t="shared" si="14"/>
        <v>0</v>
      </c>
      <c r="N48" s="71"/>
      <c r="O48" s="71"/>
      <c r="P48" s="75">
        <f t="shared" si="15"/>
        <v>0</v>
      </c>
      <c r="Q48" s="74">
        <f t="shared" si="16"/>
        <v>0</v>
      </c>
      <c r="R48" s="74">
        <f t="shared" si="17"/>
        <v>0</v>
      </c>
      <c r="S48" s="74">
        <f t="shared" si="18"/>
        <v>0</v>
      </c>
    </row>
    <row r="49" spans="1:19" s="39" customFormat="1" ht="12.75" hidden="1">
      <c r="A49" s="71">
        <v>10</v>
      </c>
      <c r="B49" s="70"/>
      <c r="C49" s="71" t="s">
        <v>52</v>
      </c>
      <c r="D49" s="72" t="str">
        <f t="shared" si="10"/>
        <v>Творческая студия</v>
      </c>
      <c r="E49" s="71"/>
      <c r="F49" s="71">
        <f t="shared" si="11"/>
        <v>0</v>
      </c>
      <c r="G49" s="71">
        <v>7570</v>
      </c>
      <c r="H49" s="73">
        <f t="shared" si="19"/>
        <v>0</v>
      </c>
      <c r="I49" s="73"/>
      <c r="J49" s="71"/>
      <c r="K49" s="74">
        <f t="shared" si="12"/>
        <v>0</v>
      </c>
      <c r="L49" s="71">
        <f t="shared" si="13"/>
        <v>1800</v>
      </c>
      <c r="M49" s="71">
        <f t="shared" si="14"/>
        <v>0</v>
      </c>
      <c r="N49" s="71"/>
      <c r="O49" s="71"/>
      <c r="P49" s="75">
        <f t="shared" si="15"/>
        <v>0</v>
      </c>
      <c r="Q49" s="74">
        <f t="shared" si="16"/>
        <v>0</v>
      </c>
      <c r="R49" s="74">
        <f t="shared" si="17"/>
        <v>0</v>
      </c>
      <c r="S49" s="74">
        <f t="shared" si="18"/>
        <v>0</v>
      </c>
    </row>
    <row r="50" spans="1:19" s="39" customFormat="1" ht="13.5" thickBot="1">
      <c r="A50" s="113"/>
      <c r="B50" s="114"/>
      <c r="C50" s="114"/>
      <c r="D50" s="114" t="s">
        <v>53</v>
      </c>
      <c r="E50" s="114"/>
      <c r="F50" s="115">
        <f>SUM(F40:F49)</f>
        <v>8999</v>
      </c>
      <c r="G50" s="114"/>
      <c r="H50" s="114"/>
      <c r="I50" s="114"/>
      <c r="J50" s="114"/>
      <c r="K50" s="116"/>
      <c r="L50" s="114"/>
      <c r="M50" s="117">
        <f>SUM(M40:M49)</f>
        <v>200</v>
      </c>
      <c r="N50" s="117">
        <f>SUM(N40:N49)</f>
        <v>25</v>
      </c>
      <c r="O50" s="117">
        <f>SUM(O40:O49)</f>
        <v>8</v>
      </c>
      <c r="P50" s="114"/>
      <c r="Q50" s="115">
        <f>SUM(Q40:Q49)</f>
        <v>11926</v>
      </c>
      <c r="R50" s="115">
        <f>SUM(R40:R49)</f>
        <v>1788.9</v>
      </c>
      <c r="S50" s="115">
        <f>SUM(S40:S49)</f>
        <v>13714.9</v>
      </c>
    </row>
    <row r="51" spans="1:19" s="39" customFormat="1" ht="12.75">
      <c r="A51" s="118"/>
      <c r="B51" s="92"/>
      <c r="C51" s="92"/>
      <c r="D51" s="92"/>
      <c r="E51" s="92"/>
      <c r="F51" s="93"/>
      <c r="G51" s="92"/>
      <c r="H51" s="92"/>
      <c r="I51" s="92"/>
      <c r="J51" s="92"/>
      <c r="K51" s="94"/>
      <c r="L51" s="92"/>
      <c r="M51" s="95"/>
      <c r="N51" s="95">
        <f>доходы!C13</f>
        <v>25</v>
      </c>
      <c r="O51" s="96" t="s">
        <v>116</v>
      </c>
      <c r="P51" s="119"/>
      <c r="Q51" s="120"/>
      <c r="R51" s="121"/>
      <c r="S51" s="121"/>
    </row>
    <row r="52" spans="1:19" s="39" customFormat="1" ht="12.75">
      <c r="A52" s="53" t="s">
        <v>100</v>
      </c>
      <c r="B52" s="41" t="str">
        <f>доходы!B15</f>
        <v>Услуга логопедической помощи</v>
      </c>
      <c r="F52" s="40"/>
      <c r="G52" s="40"/>
      <c r="H52" s="40"/>
      <c r="I52" s="40"/>
      <c r="J52" s="40"/>
      <c r="K52" s="50"/>
      <c r="L52" s="40"/>
      <c r="M52" s="40"/>
      <c r="N52" s="40"/>
      <c r="O52" s="40"/>
      <c r="P52" s="40"/>
      <c r="Q52" s="40"/>
      <c r="R52" s="40"/>
      <c r="S52" s="40"/>
    </row>
    <row r="53" spans="1:19" s="39" customFormat="1" ht="13.5" thickBo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50"/>
      <c r="L53" s="40"/>
      <c r="M53" s="40"/>
      <c r="N53" s="40"/>
      <c r="O53" s="40"/>
      <c r="P53" s="40"/>
      <c r="Q53" s="40"/>
      <c r="R53" s="40"/>
      <c r="S53" s="40"/>
    </row>
    <row r="54" spans="1:19" s="39" customFormat="1" ht="51.75" thickBot="1">
      <c r="A54" s="54" t="s">
        <v>1</v>
      </c>
      <c r="B54" s="54" t="s">
        <v>2</v>
      </c>
      <c r="C54" s="54" t="s">
        <v>8</v>
      </c>
      <c r="D54" s="54" t="s">
        <v>3</v>
      </c>
      <c r="E54" s="54" t="s">
        <v>214</v>
      </c>
      <c r="F54" s="54" t="s">
        <v>215</v>
      </c>
      <c r="G54" s="54" t="s">
        <v>216</v>
      </c>
      <c r="H54" s="54" t="s">
        <v>117</v>
      </c>
      <c r="I54" s="54" t="s">
        <v>99</v>
      </c>
      <c r="J54" s="54" t="s">
        <v>213</v>
      </c>
      <c r="K54" s="55" t="s">
        <v>66</v>
      </c>
      <c r="L54" s="54" t="s">
        <v>67</v>
      </c>
      <c r="M54" s="54" t="s">
        <v>6</v>
      </c>
      <c r="N54" s="54" t="s">
        <v>54</v>
      </c>
      <c r="O54" s="54" t="s">
        <v>7</v>
      </c>
      <c r="P54" s="54" t="s">
        <v>48</v>
      </c>
      <c r="Q54" s="54" t="s">
        <v>49</v>
      </c>
      <c r="R54" s="54" t="s">
        <v>50</v>
      </c>
      <c r="S54" s="54" t="s">
        <v>51</v>
      </c>
    </row>
    <row r="55" spans="1:19" s="39" customFormat="1" ht="13.5" thickBot="1">
      <c r="A55" s="56">
        <v>1</v>
      </c>
      <c r="B55" s="57">
        <v>2</v>
      </c>
      <c r="C55" s="57">
        <v>3</v>
      </c>
      <c r="D55" s="57">
        <v>4</v>
      </c>
      <c r="E55" s="57">
        <v>5</v>
      </c>
      <c r="F55" s="57">
        <v>6</v>
      </c>
      <c r="G55" s="57">
        <v>7</v>
      </c>
      <c r="H55" s="57">
        <v>8</v>
      </c>
      <c r="I55" s="57">
        <v>9</v>
      </c>
      <c r="J55" s="57">
        <v>10</v>
      </c>
      <c r="K55" s="58">
        <v>11</v>
      </c>
      <c r="L55" s="57">
        <v>12</v>
      </c>
      <c r="M55" s="57">
        <v>13</v>
      </c>
      <c r="N55" s="57">
        <v>14</v>
      </c>
      <c r="O55" s="57">
        <v>15</v>
      </c>
      <c r="P55" s="57">
        <v>16</v>
      </c>
      <c r="Q55" s="57">
        <v>17</v>
      </c>
      <c r="R55" s="57">
        <v>18</v>
      </c>
      <c r="S55" s="59">
        <v>19</v>
      </c>
    </row>
    <row r="56" spans="1:19" s="112" customFormat="1" ht="39.75" thickBot="1" thickTop="1">
      <c r="A56" s="60">
        <v>1</v>
      </c>
      <c r="B56" s="61" t="s">
        <v>233</v>
      </c>
      <c r="C56" s="62" t="s">
        <v>180</v>
      </c>
      <c r="D56" s="61" t="str">
        <f>B$52</f>
        <v>Услуга логопедической помощи</v>
      </c>
      <c r="E56" s="63">
        <f>ROUND(O56/18/4,2)</f>
        <v>0.11</v>
      </c>
      <c r="F56" s="63">
        <v>8999</v>
      </c>
      <c r="G56" s="110">
        <f>E56*F56</f>
        <v>989.89</v>
      </c>
      <c r="H56" s="64">
        <v>0</v>
      </c>
      <c r="I56" s="64">
        <v>0</v>
      </c>
      <c r="J56" s="372">
        <f>K56/G56</f>
        <v>4.819</v>
      </c>
      <c r="K56" s="65">
        <f>N56*O56*P56</f>
        <v>4770.4</v>
      </c>
      <c r="L56" s="63">
        <f aca="true" t="shared" si="20" ref="L56:L65">18*25*4</f>
        <v>1800</v>
      </c>
      <c r="M56" s="63">
        <f>N56*O56</f>
        <v>80</v>
      </c>
      <c r="N56" s="63">
        <v>10</v>
      </c>
      <c r="O56" s="63">
        <v>8</v>
      </c>
      <c r="P56" s="66">
        <v>59.63</v>
      </c>
      <c r="Q56" s="65">
        <f>N56*O56*P56</f>
        <v>4770.4</v>
      </c>
      <c r="R56" s="65">
        <f>Q56*0.15</f>
        <v>715.56</v>
      </c>
      <c r="S56" s="67">
        <f>Q56+R56</f>
        <v>5485.96</v>
      </c>
    </row>
    <row r="57" spans="1:19" s="39" customFormat="1" ht="26.25" hidden="1" thickBot="1">
      <c r="A57" s="69">
        <v>2</v>
      </c>
      <c r="B57" s="70"/>
      <c r="C57" s="71" t="s">
        <v>52</v>
      </c>
      <c r="D57" s="72" t="str">
        <f aca="true" t="shared" si="21" ref="D57:D65">B$52</f>
        <v>Услуга логопедической помощи</v>
      </c>
      <c r="E57" s="71"/>
      <c r="F57" s="71">
        <f aca="true" t="shared" si="22" ref="F57:F65">ROUND(O57/18/4,2)</f>
        <v>0</v>
      </c>
      <c r="G57" s="71">
        <v>7570</v>
      </c>
      <c r="H57" s="73">
        <f>H$24</f>
        <v>0</v>
      </c>
      <c r="I57" s="73">
        <v>0</v>
      </c>
      <c r="J57" s="71"/>
      <c r="K57" s="74">
        <f aca="true" t="shared" si="23" ref="K57:K65">(G57+G57*(H57+I57))*J57</f>
        <v>0</v>
      </c>
      <c r="L57" s="71">
        <f t="shared" si="20"/>
        <v>1800</v>
      </c>
      <c r="M57" s="71">
        <f aca="true" t="shared" si="24" ref="M57:M65">N57*O57</f>
        <v>0</v>
      </c>
      <c r="N57" s="71"/>
      <c r="O57" s="71"/>
      <c r="P57" s="75">
        <f aca="true" t="shared" si="25" ref="P57:P65">ROUND(K57/L57,2)</f>
        <v>0</v>
      </c>
      <c r="Q57" s="74">
        <f aca="true" t="shared" si="26" ref="Q57:Q65">N57*O57*P57</f>
        <v>0</v>
      </c>
      <c r="R57" s="74">
        <f aca="true" t="shared" si="27" ref="R57:R65">Q57*0.15</f>
        <v>0</v>
      </c>
      <c r="S57" s="76">
        <f aca="true" t="shared" si="28" ref="S57:S65">Q57+R57</f>
        <v>0</v>
      </c>
    </row>
    <row r="58" spans="1:19" s="39" customFormat="1" ht="26.25" hidden="1" thickBot="1">
      <c r="A58" s="69">
        <v>3</v>
      </c>
      <c r="B58" s="70"/>
      <c r="C58" s="71" t="s">
        <v>52</v>
      </c>
      <c r="D58" s="72" t="str">
        <f t="shared" si="21"/>
        <v>Услуга логопедической помощи</v>
      </c>
      <c r="E58" s="71"/>
      <c r="F58" s="71">
        <f t="shared" si="22"/>
        <v>0</v>
      </c>
      <c r="G58" s="71">
        <v>7570</v>
      </c>
      <c r="H58" s="73">
        <f aca="true" t="shared" si="29" ref="H58:H65">H$24</f>
        <v>0</v>
      </c>
      <c r="I58" s="73"/>
      <c r="J58" s="71"/>
      <c r="K58" s="74">
        <f t="shared" si="23"/>
        <v>0</v>
      </c>
      <c r="L58" s="71">
        <f t="shared" si="20"/>
        <v>1800</v>
      </c>
      <c r="M58" s="71">
        <f t="shared" si="24"/>
        <v>0</v>
      </c>
      <c r="N58" s="71"/>
      <c r="O58" s="71"/>
      <c r="P58" s="75">
        <f t="shared" si="25"/>
        <v>0</v>
      </c>
      <c r="Q58" s="74">
        <f t="shared" si="26"/>
        <v>0</v>
      </c>
      <c r="R58" s="74">
        <f t="shared" si="27"/>
        <v>0</v>
      </c>
      <c r="S58" s="76">
        <f t="shared" si="28"/>
        <v>0</v>
      </c>
    </row>
    <row r="59" spans="1:19" s="39" customFormat="1" ht="26.25" hidden="1" thickBot="1">
      <c r="A59" s="69">
        <v>4</v>
      </c>
      <c r="B59" s="70"/>
      <c r="C59" s="71" t="s">
        <v>52</v>
      </c>
      <c r="D59" s="72" t="str">
        <f t="shared" si="21"/>
        <v>Услуга логопедической помощи</v>
      </c>
      <c r="E59" s="71"/>
      <c r="F59" s="71">
        <f t="shared" si="22"/>
        <v>0</v>
      </c>
      <c r="G59" s="71">
        <v>7570</v>
      </c>
      <c r="H59" s="73">
        <f t="shared" si="29"/>
        <v>0</v>
      </c>
      <c r="I59" s="73"/>
      <c r="J59" s="71"/>
      <c r="K59" s="74">
        <f t="shared" si="23"/>
        <v>0</v>
      </c>
      <c r="L59" s="71">
        <f t="shared" si="20"/>
        <v>1800</v>
      </c>
      <c r="M59" s="71">
        <f t="shared" si="24"/>
        <v>0</v>
      </c>
      <c r="N59" s="71"/>
      <c r="O59" s="71"/>
      <c r="P59" s="75">
        <f t="shared" si="25"/>
        <v>0</v>
      </c>
      <c r="Q59" s="74">
        <f t="shared" si="26"/>
        <v>0</v>
      </c>
      <c r="R59" s="74">
        <f t="shared" si="27"/>
        <v>0</v>
      </c>
      <c r="S59" s="76">
        <f t="shared" si="28"/>
        <v>0</v>
      </c>
    </row>
    <row r="60" spans="1:19" s="39" customFormat="1" ht="26.25" hidden="1" thickBot="1">
      <c r="A60" s="69">
        <v>5</v>
      </c>
      <c r="B60" s="70"/>
      <c r="C60" s="71" t="s">
        <v>52</v>
      </c>
      <c r="D60" s="72" t="str">
        <f t="shared" si="21"/>
        <v>Услуга логопедической помощи</v>
      </c>
      <c r="E60" s="71"/>
      <c r="F60" s="71">
        <f t="shared" si="22"/>
        <v>0</v>
      </c>
      <c r="G60" s="71">
        <v>7570</v>
      </c>
      <c r="H60" s="73">
        <f t="shared" si="29"/>
        <v>0</v>
      </c>
      <c r="I60" s="73"/>
      <c r="J60" s="71"/>
      <c r="K60" s="74">
        <f t="shared" si="23"/>
        <v>0</v>
      </c>
      <c r="L60" s="71">
        <f t="shared" si="20"/>
        <v>1800</v>
      </c>
      <c r="M60" s="71">
        <f t="shared" si="24"/>
        <v>0</v>
      </c>
      <c r="N60" s="71"/>
      <c r="O60" s="71"/>
      <c r="P60" s="75">
        <f t="shared" si="25"/>
        <v>0</v>
      </c>
      <c r="Q60" s="74">
        <f t="shared" si="26"/>
        <v>0</v>
      </c>
      <c r="R60" s="74">
        <f t="shared" si="27"/>
        <v>0</v>
      </c>
      <c r="S60" s="76">
        <f t="shared" si="28"/>
        <v>0</v>
      </c>
    </row>
    <row r="61" spans="1:19" s="39" customFormat="1" ht="26.25" hidden="1" thickBot="1">
      <c r="A61" s="69">
        <v>6</v>
      </c>
      <c r="B61" s="70"/>
      <c r="C61" s="71" t="s">
        <v>52</v>
      </c>
      <c r="D61" s="72" t="str">
        <f t="shared" si="21"/>
        <v>Услуга логопедической помощи</v>
      </c>
      <c r="E61" s="71"/>
      <c r="F61" s="71">
        <f t="shared" si="22"/>
        <v>0</v>
      </c>
      <c r="G61" s="71">
        <v>7570</v>
      </c>
      <c r="H61" s="73">
        <f t="shared" si="29"/>
        <v>0</v>
      </c>
      <c r="I61" s="73"/>
      <c r="J61" s="71"/>
      <c r="K61" s="74">
        <f t="shared" si="23"/>
        <v>0</v>
      </c>
      <c r="L61" s="71">
        <f t="shared" si="20"/>
        <v>1800</v>
      </c>
      <c r="M61" s="71">
        <f t="shared" si="24"/>
        <v>0</v>
      </c>
      <c r="N61" s="71"/>
      <c r="O61" s="71"/>
      <c r="P61" s="75">
        <f t="shared" si="25"/>
        <v>0</v>
      </c>
      <c r="Q61" s="74">
        <f t="shared" si="26"/>
        <v>0</v>
      </c>
      <c r="R61" s="74">
        <f t="shared" si="27"/>
        <v>0</v>
      </c>
      <c r="S61" s="76">
        <f t="shared" si="28"/>
        <v>0</v>
      </c>
    </row>
    <row r="62" spans="1:19" s="39" customFormat="1" ht="26.25" hidden="1" thickBot="1">
      <c r="A62" s="69">
        <v>7</v>
      </c>
      <c r="B62" s="70"/>
      <c r="C62" s="71" t="s">
        <v>52</v>
      </c>
      <c r="D62" s="72" t="str">
        <f t="shared" si="21"/>
        <v>Услуга логопедической помощи</v>
      </c>
      <c r="E62" s="71"/>
      <c r="F62" s="71">
        <f t="shared" si="22"/>
        <v>0</v>
      </c>
      <c r="G62" s="71">
        <v>7570</v>
      </c>
      <c r="H62" s="73">
        <f t="shared" si="29"/>
        <v>0</v>
      </c>
      <c r="I62" s="73"/>
      <c r="J62" s="71"/>
      <c r="K62" s="74">
        <f t="shared" si="23"/>
        <v>0</v>
      </c>
      <c r="L62" s="71">
        <f t="shared" si="20"/>
        <v>1800</v>
      </c>
      <c r="M62" s="71">
        <f t="shared" si="24"/>
        <v>0</v>
      </c>
      <c r="N62" s="71"/>
      <c r="O62" s="71"/>
      <c r="P62" s="75">
        <f t="shared" si="25"/>
        <v>0</v>
      </c>
      <c r="Q62" s="74">
        <f t="shared" si="26"/>
        <v>0</v>
      </c>
      <c r="R62" s="74">
        <f t="shared" si="27"/>
        <v>0</v>
      </c>
      <c r="S62" s="76">
        <f t="shared" si="28"/>
        <v>0</v>
      </c>
    </row>
    <row r="63" spans="1:19" s="39" customFormat="1" ht="26.25" hidden="1" thickBot="1">
      <c r="A63" s="69">
        <v>8</v>
      </c>
      <c r="B63" s="70"/>
      <c r="C63" s="71" t="s">
        <v>52</v>
      </c>
      <c r="D63" s="72" t="str">
        <f t="shared" si="21"/>
        <v>Услуга логопедической помощи</v>
      </c>
      <c r="E63" s="71"/>
      <c r="F63" s="71">
        <f t="shared" si="22"/>
        <v>0</v>
      </c>
      <c r="G63" s="71">
        <v>7570</v>
      </c>
      <c r="H63" s="73">
        <f t="shared" si="29"/>
        <v>0</v>
      </c>
      <c r="I63" s="73"/>
      <c r="J63" s="71"/>
      <c r="K63" s="74">
        <f t="shared" si="23"/>
        <v>0</v>
      </c>
      <c r="L63" s="71">
        <f t="shared" si="20"/>
        <v>1800</v>
      </c>
      <c r="M63" s="71">
        <f t="shared" si="24"/>
        <v>0</v>
      </c>
      <c r="N63" s="71"/>
      <c r="O63" s="71"/>
      <c r="P63" s="75">
        <f t="shared" si="25"/>
        <v>0</v>
      </c>
      <c r="Q63" s="74">
        <f t="shared" si="26"/>
        <v>0</v>
      </c>
      <c r="R63" s="74">
        <f t="shared" si="27"/>
        <v>0</v>
      </c>
      <c r="S63" s="76">
        <f t="shared" si="28"/>
        <v>0</v>
      </c>
    </row>
    <row r="64" spans="1:19" s="39" customFormat="1" ht="26.25" hidden="1" thickBot="1">
      <c r="A64" s="69">
        <v>9</v>
      </c>
      <c r="B64" s="70"/>
      <c r="C64" s="71" t="s">
        <v>52</v>
      </c>
      <c r="D64" s="72" t="str">
        <f t="shared" si="21"/>
        <v>Услуга логопедической помощи</v>
      </c>
      <c r="E64" s="71"/>
      <c r="F64" s="71">
        <f t="shared" si="22"/>
        <v>0</v>
      </c>
      <c r="G64" s="71">
        <v>7570</v>
      </c>
      <c r="H64" s="73">
        <f t="shared" si="29"/>
        <v>0</v>
      </c>
      <c r="I64" s="73"/>
      <c r="J64" s="71"/>
      <c r="K64" s="74">
        <f t="shared" si="23"/>
        <v>0</v>
      </c>
      <c r="L64" s="71">
        <f t="shared" si="20"/>
        <v>1800</v>
      </c>
      <c r="M64" s="71">
        <f t="shared" si="24"/>
        <v>0</v>
      </c>
      <c r="N64" s="71"/>
      <c r="O64" s="71"/>
      <c r="P64" s="75">
        <f t="shared" si="25"/>
        <v>0</v>
      </c>
      <c r="Q64" s="74">
        <f t="shared" si="26"/>
        <v>0</v>
      </c>
      <c r="R64" s="74">
        <f t="shared" si="27"/>
        <v>0</v>
      </c>
      <c r="S64" s="76">
        <f t="shared" si="28"/>
        <v>0</v>
      </c>
    </row>
    <row r="65" spans="1:19" s="39" customFormat="1" ht="26.25" hidden="1" thickBot="1">
      <c r="A65" s="77">
        <v>10</v>
      </c>
      <c r="B65" s="78"/>
      <c r="C65" s="79" t="s">
        <v>52</v>
      </c>
      <c r="D65" s="80" t="str">
        <f t="shared" si="21"/>
        <v>Услуга логопедической помощи</v>
      </c>
      <c r="E65" s="79"/>
      <c r="F65" s="79">
        <f t="shared" si="22"/>
        <v>0</v>
      </c>
      <c r="G65" s="79">
        <v>7570</v>
      </c>
      <c r="H65" s="81">
        <f t="shared" si="29"/>
        <v>0</v>
      </c>
      <c r="I65" s="81"/>
      <c r="J65" s="79"/>
      <c r="K65" s="82">
        <f t="shared" si="23"/>
        <v>0</v>
      </c>
      <c r="L65" s="79">
        <f t="shared" si="20"/>
        <v>1800</v>
      </c>
      <c r="M65" s="79">
        <f t="shared" si="24"/>
        <v>0</v>
      </c>
      <c r="N65" s="79"/>
      <c r="O65" s="79"/>
      <c r="P65" s="83">
        <f t="shared" si="25"/>
        <v>0</v>
      </c>
      <c r="Q65" s="82">
        <f t="shared" si="26"/>
        <v>0</v>
      </c>
      <c r="R65" s="82">
        <f t="shared" si="27"/>
        <v>0</v>
      </c>
      <c r="S65" s="84">
        <f t="shared" si="28"/>
        <v>0</v>
      </c>
    </row>
    <row r="66" spans="1:19" s="39" customFormat="1" ht="13.5" thickBot="1">
      <c r="A66" s="85"/>
      <c r="B66" s="86"/>
      <c r="C66" s="86"/>
      <c r="D66" s="86" t="s">
        <v>53</v>
      </c>
      <c r="E66" s="86"/>
      <c r="F66" s="87">
        <f>SUM(F56:F65)</f>
        <v>8999</v>
      </c>
      <c r="G66" s="86"/>
      <c r="H66" s="86"/>
      <c r="I66" s="86"/>
      <c r="J66" s="86"/>
      <c r="K66" s="88"/>
      <c r="L66" s="86"/>
      <c r="M66" s="89">
        <f>SUM(M56:M65)</f>
        <v>80</v>
      </c>
      <c r="N66" s="89">
        <f>SUM(N56:N65)</f>
        <v>10</v>
      </c>
      <c r="O66" s="89">
        <f>SUM(O56:O65)</f>
        <v>8</v>
      </c>
      <c r="P66" s="86"/>
      <c r="Q66" s="87">
        <f>SUM(Q56:Q65)</f>
        <v>4770.4</v>
      </c>
      <c r="R66" s="87">
        <f>SUM(R56:R65)</f>
        <v>715.56</v>
      </c>
      <c r="S66" s="90">
        <f>SUM(S56:S65)</f>
        <v>5485.96</v>
      </c>
    </row>
    <row r="67" spans="1:19" s="39" customFormat="1" ht="13.5" thickBot="1">
      <c r="A67" s="118"/>
      <c r="B67" s="92"/>
      <c r="C67" s="92"/>
      <c r="D67" s="92"/>
      <c r="E67" s="92"/>
      <c r="F67" s="93"/>
      <c r="G67" s="92"/>
      <c r="H67" s="92"/>
      <c r="I67" s="92"/>
      <c r="J67" s="92"/>
      <c r="K67" s="94"/>
      <c r="L67" s="92"/>
      <c r="M67" s="95"/>
      <c r="N67" s="95">
        <f>доходы!C15</f>
        <v>10</v>
      </c>
      <c r="O67" s="96" t="s">
        <v>116</v>
      </c>
      <c r="P67" s="92"/>
      <c r="Q67" s="97"/>
      <c r="R67" s="97"/>
      <c r="S67" s="93"/>
    </row>
    <row r="68" spans="1:19" s="39" customFormat="1" ht="13.5" thickBot="1">
      <c r="A68" s="118">
        <v>4</v>
      </c>
      <c r="B68" s="92" t="str">
        <f>доходы!B17</f>
        <v>Мультстудия</v>
      </c>
      <c r="C68" s="92"/>
      <c r="D68" s="92"/>
      <c r="E68" s="92"/>
      <c r="F68" s="93"/>
      <c r="G68" s="92"/>
      <c r="H68" s="92"/>
      <c r="I68" s="92"/>
      <c r="J68" s="92"/>
      <c r="K68" s="94"/>
      <c r="L68" s="92"/>
      <c r="M68" s="95"/>
      <c r="N68" s="95"/>
      <c r="O68" s="96"/>
      <c r="P68" s="92"/>
      <c r="Q68" s="404"/>
      <c r="R68" s="404"/>
      <c r="S68" s="93"/>
    </row>
    <row r="69" spans="1:19" s="457" customFormat="1" ht="13.5" thickBot="1">
      <c r="A69" s="450"/>
      <c r="B69" s="451"/>
      <c r="C69" s="451"/>
      <c r="D69" s="451"/>
      <c r="E69" s="451"/>
      <c r="F69" s="452"/>
      <c r="G69" s="451"/>
      <c r="H69" s="451"/>
      <c r="I69" s="451"/>
      <c r="J69" s="451"/>
      <c r="K69" s="453"/>
      <c r="L69" s="451"/>
      <c r="M69" s="454"/>
      <c r="N69" s="454"/>
      <c r="O69" s="455"/>
      <c r="P69" s="451"/>
      <c r="Q69" s="456"/>
      <c r="R69" s="456"/>
      <c r="S69" s="452"/>
    </row>
    <row r="70" spans="1:19" s="457" customFormat="1" ht="51.75" thickBot="1">
      <c r="A70" s="458" t="s">
        <v>1</v>
      </c>
      <c r="B70" s="458" t="s">
        <v>2</v>
      </c>
      <c r="C70" s="458" t="s">
        <v>8</v>
      </c>
      <c r="D70" s="458" t="s">
        <v>3</v>
      </c>
      <c r="E70" s="458" t="s">
        <v>214</v>
      </c>
      <c r="F70" s="458" t="s">
        <v>215</v>
      </c>
      <c r="G70" s="458" t="s">
        <v>216</v>
      </c>
      <c r="H70" s="458" t="s">
        <v>117</v>
      </c>
      <c r="I70" s="458" t="s">
        <v>99</v>
      </c>
      <c r="J70" s="458" t="s">
        <v>213</v>
      </c>
      <c r="K70" s="459" t="s">
        <v>66</v>
      </c>
      <c r="L70" s="458" t="s">
        <v>67</v>
      </c>
      <c r="M70" s="458" t="s">
        <v>6</v>
      </c>
      <c r="N70" s="458" t="s">
        <v>54</v>
      </c>
      <c r="O70" s="458" t="s">
        <v>7</v>
      </c>
      <c r="P70" s="458" t="s">
        <v>48</v>
      </c>
      <c r="Q70" s="458" t="s">
        <v>49</v>
      </c>
      <c r="R70" s="458" t="s">
        <v>50</v>
      </c>
      <c r="S70" s="458" t="s">
        <v>51</v>
      </c>
    </row>
    <row r="71" spans="1:19" s="457" customFormat="1" ht="13.5" thickBot="1">
      <c r="A71" s="460">
        <v>1</v>
      </c>
      <c r="B71" s="461">
        <v>2</v>
      </c>
      <c r="C71" s="461">
        <v>3</v>
      </c>
      <c r="D71" s="461">
        <v>4</v>
      </c>
      <c r="E71" s="461">
        <v>5</v>
      </c>
      <c r="F71" s="461">
        <v>6</v>
      </c>
      <c r="G71" s="461">
        <v>7</v>
      </c>
      <c r="H71" s="461">
        <v>8</v>
      </c>
      <c r="I71" s="461">
        <v>9</v>
      </c>
      <c r="J71" s="461">
        <v>10</v>
      </c>
      <c r="K71" s="462">
        <v>11</v>
      </c>
      <c r="L71" s="461">
        <v>12</v>
      </c>
      <c r="M71" s="461">
        <v>13</v>
      </c>
      <c r="N71" s="461">
        <v>14</v>
      </c>
      <c r="O71" s="461">
        <v>15</v>
      </c>
      <c r="P71" s="461">
        <v>16</v>
      </c>
      <c r="Q71" s="461">
        <v>17</v>
      </c>
      <c r="R71" s="461">
        <v>18</v>
      </c>
      <c r="S71" s="463">
        <v>19</v>
      </c>
    </row>
    <row r="72" spans="1:19" s="474" customFormat="1" ht="39.75" thickBot="1" thickTop="1">
      <c r="A72" s="464">
        <v>1</v>
      </c>
      <c r="B72" s="465" t="s">
        <v>234</v>
      </c>
      <c r="C72" s="466" t="s">
        <v>180</v>
      </c>
      <c r="D72" s="467" t="str">
        <f>B68</f>
        <v>Мультстудия</v>
      </c>
      <c r="E72" s="468">
        <f>ROUND(O72/18/4,2)</f>
        <v>0.11</v>
      </c>
      <c r="F72" s="468">
        <v>8999</v>
      </c>
      <c r="G72" s="469">
        <f>E72*F72</f>
        <v>989.89</v>
      </c>
      <c r="H72" s="470">
        <v>0</v>
      </c>
      <c r="I72" s="470">
        <v>0</v>
      </c>
      <c r="J72" s="471">
        <f>K72/G72</f>
        <v>3.556</v>
      </c>
      <c r="K72" s="472">
        <f>N72*O72*P72</f>
        <v>3520</v>
      </c>
      <c r="L72" s="106">
        <f>18*25*4</f>
        <v>1800</v>
      </c>
      <c r="M72" s="106">
        <f>N72*O72</f>
        <v>80</v>
      </c>
      <c r="N72" s="106">
        <v>10</v>
      </c>
      <c r="O72" s="63">
        <v>8</v>
      </c>
      <c r="P72" s="111">
        <v>44</v>
      </c>
      <c r="Q72" s="472">
        <f>N72*O72*P72</f>
        <v>3520</v>
      </c>
      <c r="R72" s="472">
        <f>Q72*0.15</f>
        <v>528</v>
      </c>
      <c r="S72" s="473">
        <f>Q72+R72</f>
        <v>4048</v>
      </c>
    </row>
    <row r="73" spans="1:19" s="457" customFormat="1" ht="13.5" thickBot="1">
      <c r="A73" s="475"/>
      <c r="B73" s="476"/>
      <c r="C73" s="476"/>
      <c r="D73" s="476" t="s">
        <v>53</v>
      </c>
      <c r="E73" s="476"/>
      <c r="F73" s="477">
        <f>F72</f>
        <v>8999</v>
      </c>
      <c r="G73" s="476"/>
      <c r="H73" s="476"/>
      <c r="I73" s="476"/>
      <c r="J73" s="476"/>
      <c r="K73" s="478"/>
      <c r="L73" s="476"/>
      <c r="M73" s="479">
        <f>SUM(M72)</f>
        <v>80</v>
      </c>
      <c r="N73" s="479">
        <f>SUM(N72)</f>
        <v>10</v>
      </c>
      <c r="O73" s="479">
        <f>SUM(O72)</f>
        <v>8</v>
      </c>
      <c r="P73" s="476"/>
      <c r="Q73" s="87">
        <f>Q72</f>
        <v>3520</v>
      </c>
      <c r="R73" s="87">
        <f>R72</f>
        <v>528</v>
      </c>
      <c r="S73" s="87">
        <f>S72</f>
        <v>4048</v>
      </c>
    </row>
    <row r="74" spans="1:19" s="457" customFormat="1" ht="13.5" thickBot="1">
      <c r="A74" s="450"/>
      <c r="B74" s="451"/>
      <c r="C74" s="451"/>
      <c r="D74" s="451"/>
      <c r="E74" s="451"/>
      <c r="F74" s="451"/>
      <c r="G74" s="451"/>
      <c r="H74" s="451"/>
      <c r="I74" s="451"/>
      <c r="J74" s="451"/>
      <c r="K74" s="453"/>
      <c r="L74" s="451"/>
      <c r="M74" s="451"/>
      <c r="N74" s="451">
        <f>доходы!C17</f>
        <v>10</v>
      </c>
      <c r="O74" s="455" t="s">
        <v>116</v>
      </c>
      <c r="P74" s="451"/>
      <c r="Q74" s="480"/>
      <c r="R74" s="480"/>
      <c r="S74" s="451"/>
    </row>
    <row r="75" spans="1:19" s="39" customFormat="1" ht="13.5" hidden="1" thickBot="1">
      <c r="A75" s="118">
        <v>5</v>
      </c>
      <c r="B75" s="92" t="s">
        <v>247</v>
      </c>
      <c r="C75" s="92"/>
      <c r="D75" s="92"/>
      <c r="E75" s="92"/>
      <c r="F75" s="92"/>
      <c r="G75" s="92"/>
      <c r="H75" s="92"/>
      <c r="I75" s="92"/>
      <c r="J75" s="92"/>
      <c r="K75" s="94"/>
      <c r="L75" s="92"/>
      <c r="M75" s="92"/>
      <c r="N75" s="92"/>
      <c r="O75" s="92"/>
      <c r="P75" s="92"/>
      <c r="Q75" s="91"/>
      <c r="R75" s="91"/>
      <c r="S75" s="92"/>
    </row>
    <row r="76" spans="1:19" s="39" customFormat="1" ht="13.5" hidden="1" thickBot="1">
      <c r="A76" s="118"/>
      <c r="B76" s="92"/>
      <c r="C76" s="92"/>
      <c r="D76" s="92"/>
      <c r="E76" s="92"/>
      <c r="F76" s="92"/>
      <c r="G76" s="92"/>
      <c r="H76" s="92"/>
      <c r="I76" s="92"/>
      <c r="J76" s="92"/>
      <c r="K76" s="94"/>
      <c r="L76" s="92"/>
      <c r="M76" s="92"/>
      <c r="N76" s="92"/>
      <c r="O76" s="92"/>
      <c r="P76" s="92"/>
      <c r="Q76" s="91"/>
      <c r="R76" s="91"/>
      <c r="S76" s="92"/>
    </row>
    <row r="77" spans="1:19" s="407" customFormat="1" ht="51.75" hidden="1" thickBot="1">
      <c r="A77" s="405" t="s">
        <v>1</v>
      </c>
      <c r="B77" s="405" t="s">
        <v>2</v>
      </c>
      <c r="C77" s="405" t="s">
        <v>8</v>
      </c>
      <c r="D77" s="405" t="s">
        <v>3</v>
      </c>
      <c r="E77" s="405" t="s">
        <v>214</v>
      </c>
      <c r="F77" s="405" t="s">
        <v>215</v>
      </c>
      <c r="G77" s="405" t="s">
        <v>216</v>
      </c>
      <c r="H77" s="405" t="s">
        <v>117</v>
      </c>
      <c r="I77" s="405" t="s">
        <v>99</v>
      </c>
      <c r="J77" s="405" t="s">
        <v>213</v>
      </c>
      <c r="K77" s="406" t="s">
        <v>66</v>
      </c>
      <c r="L77" s="405" t="s">
        <v>67</v>
      </c>
      <c r="M77" s="405" t="s">
        <v>6</v>
      </c>
      <c r="N77" s="405" t="s">
        <v>54</v>
      </c>
      <c r="O77" s="405" t="s">
        <v>7</v>
      </c>
      <c r="P77" s="405" t="s">
        <v>48</v>
      </c>
      <c r="Q77" s="405" t="s">
        <v>49</v>
      </c>
      <c r="R77" s="405" t="s">
        <v>50</v>
      </c>
      <c r="S77" s="405" t="s">
        <v>51</v>
      </c>
    </row>
    <row r="78" spans="1:19" s="407" customFormat="1" ht="13.5" hidden="1" thickBot="1">
      <c r="A78" s="408">
        <v>1</v>
      </c>
      <c r="B78" s="409">
        <v>2</v>
      </c>
      <c r="C78" s="409">
        <v>3</v>
      </c>
      <c r="D78" s="409">
        <v>4</v>
      </c>
      <c r="E78" s="409">
        <v>5</v>
      </c>
      <c r="F78" s="409">
        <v>6</v>
      </c>
      <c r="G78" s="409">
        <v>7</v>
      </c>
      <c r="H78" s="409">
        <v>8</v>
      </c>
      <c r="I78" s="409">
        <v>9</v>
      </c>
      <c r="J78" s="409">
        <v>10</v>
      </c>
      <c r="K78" s="410">
        <v>11</v>
      </c>
      <c r="L78" s="409">
        <v>12</v>
      </c>
      <c r="M78" s="409">
        <v>13</v>
      </c>
      <c r="N78" s="409">
        <v>14</v>
      </c>
      <c r="O78" s="409">
        <v>15</v>
      </c>
      <c r="P78" s="409">
        <v>16</v>
      </c>
      <c r="Q78" s="409">
        <v>17</v>
      </c>
      <c r="R78" s="409">
        <v>18</v>
      </c>
      <c r="S78" s="411">
        <v>19</v>
      </c>
    </row>
    <row r="79" spans="1:19" s="422" customFormat="1" ht="39.75" hidden="1" thickBot="1" thickTop="1">
      <c r="A79" s="412">
        <v>1</v>
      </c>
      <c r="B79" s="413" t="s">
        <v>246</v>
      </c>
      <c r="C79" s="414" t="s">
        <v>180</v>
      </c>
      <c r="D79" s="413" t="s">
        <v>222</v>
      </c>
      <c r="E79" s="415">
        <f>ROUND(O79/18/4,2)</f>
        <v>0</v>
      </c>
      <c r="F79" s="415"/>
      <c r="G79" s="416">
        <f>E79*F79</f>
        <v>0</v>
      </c>
      <c r="H79" s="417">
        <v>0</v>
      </c>
      <c r="I79" s="417">
        <v>0</v>
      </c>
      <c r="J79" s="418" t="e">
        <f>K79/G79</f>
        <v>#DIV/0!</v>
      </c>
      <c r="K79" s="419">
        <f>N79*O79*P79</f>
        <v>0</v>
      </c>
      <c r="L79" s="415">
        <f>18*25*4</f>
        <v>1800</v>
      </c>
      <c r="M79" s="415"/>
      <c r="N79" s="415"/>
      <c r="O79" s="415"/>
      <c r="P79" s="420">
        <v>59.63</v>
      </c>
      <c r="Q79" s="419">
        <f>N79*O79*P79</f>
        <v>0</v>
      </c>
      <c r="R79" s="419">
        <f>Q79*0.15</f>
        <v>0</v>
      </c>
      <c r="S79" s="421">
        <f>Q79+R79</f>
        <v>0</v>
      </c>
    </row>
    <row r="80" spans="1:19" s="407" customFormat="1" ht="13.5" hidden="1" thickBot="1">
      <c r="A80" s="423"/>
      <c r="B80" s="424"/>
      <c r="C80" s="424"/>
      <c r="D80" s="424" t="s">
        <v>53</v>
      </c>
      <c r="E80" s="424"/>
      <c r="F80" s="425"/>
      <c r="G80" s="424"/>
      <c r="H80" s="424"/>
      <c r="I80" s="424"/>
      <c r="J80" s="424"/>
      <c r="K80" s="426"/>
      <c r="L80" s="424"/>
      <c r="M80" s="427">
        <f>SUM(M73:M79)</f>
        <v>93</v>
      </c>
      <c r="N80" s="427">
        <f>SUM(N73:N79)</f>
        <v>34</v>
      </c>
      <c r="O80" s="427">
        <f>SUM(O73:O79)</f>
        <v>23</v>
      </c>
      <c r="P80" s="424"/>
      <c r="Q80" s="425">
        <f>SUM(Q73:Q79)</f>
        <v>3537</v>
      </c>
      <c r="R80" s="425">
        <f>SUM(R73:R79)</f>
        <v>546</v>
      </c>
      <c r="S80" s="428">
        <f>SUM(S73:S79)</f>
        <v>4067</v>
      </c>
    </row>
    <row r="81" spans="1:19" s="407" customFormat="1" ht="12.75" hidden="1">
      <c r="A81" s="92"/>
      <c r="B81" s="92"/>
      <c r="C81" s="92"/>
      <c r="D81" s="92"/>
      <c r="E81" s="92"/>
      <c r="F81" s="93"/>
      <c r="G81" s="92"/>
      <c r="H81" s="92"/>
      <c r="I81" s="92"/>
      <c r="J81" s="92"/>
      <c r="K81" s="94"/>
      <c r="L81" s="92"/>
      <c r="M81" s="95"/>
      <c r="N81" s="95"/>
      <c r="O81" s="95"/>
      <c r="P81" s="92"/>
      <c r="Q81" s="93"/>
      <c r="R81" s="93"/>
      <c r="S81" s="93"/>
    </row>
    <row r="82" spans="1:19" s="39" customFormat="1" ht="12.75" hidden="1">
      <c r="A82" s="53" t="s">
        <v>120</v>
      </c>
      <c r="B82" s="41" t="str">
        <f>доходы!B17</f>
        <v>Мультстудия</v>
      </c>
      <c r="F82" s="40"/>
      <c r="G82" s="40"/>
      <c r="H82" s="40"/>
      <c r="I82" s="40"/>
      <c r="J82" s="40"/>
      <c r="K82" s="50"/>
      <c r="L82" s="40"/>
      <c r="M82" s="40"/>
      <c r="N82" s="40"/>
      <c r="O82" s="40"/>
      <c r="P82" s="40"/>
      <c r="Q82" s="40"/>
      <c r="R82" s="40"/>
      <c r="S82" s="40"/>
    </row>
    <row r="83" spans="1:19" s="39" customFormat="1" ht="13.5" hidden="1" thickBo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50"/>
      <c r="L83" s="40"/>
      <c r="M83" s="40"/>
      <c r="N83" s="40"/>
      <c r="O83" s="40"/>
      <c r="P83" s="40"/>
      <c r="Q83" s="40"/>
      <c r="R83" s="40"/>
      <c r="S83" s="40"/>
    </row>
    <row r="84" spans="1:19" s="39" customFormat="1" ht="51.75" hidden="1" thickBot="1">
      <c r="A84" s="99" t="s">
        <v>1</v>
      </c>
      <c r="B84" s="99" t="s">
        <v>2</v>
      </c>
      <c r="C84" s="99" t="s">
        <v>8</v>
      </c>
      <c r="D84" s="99" t="s">
        <v>3</v>
      </c>
      <c r="E84" s="54" t="s">
        <v>214</v>
      </c>
      <c r="F84" s="54" t="s">
        <v>215</v>
      </c>
      <c r="G84" s="54" t="s">
        <v>216</v>
      </c>
      <c r="H84" s="54" t="s">
        <v>117</v>
      </c>
      <c r="I84" s="54" t="s">
        <v>99</v>
      </c>
      <c r="J84" s="54" t="s">
        <v>213</v>
      </c>
      <c r="K84" s="55" t="s">
        <v>66</v>
      </c>
      <c r="L84" s="99" t="s">
        <v>67</v>
      </c>
      <c r="M84" s="99" t="s">
        <v>6</v>
      </c>
      <c r="N84" s="99" t="s">
        <v>54</v>
      </c>
      <c r="O84" s="99" t="s">
        <v>7</v>
      </c>
      <c r="P84" s="99" t="s">
        <v>48</v>
      </c>
      <c r="Q84" s="99" t="s">
        <v>49</v>
      </c>
      <c r="R84" s="99" t="s">
        <v>50</v>
      </c>
      <c r="S84" s="99" t="s">
        <v>51</v>
      </c>
    </row>
    <row r="85" spans="1:19" s="39" customFormat="1" ht="13.5" hidden="1" thickBot="1">
      <c r="A85" s="101">
        <v>1</v>
      </c>
      <c r="B85" s="102">
        <v>2</v>
      </c>
      <c r="C85" s="103">
        <v>3</v>
      </c>
      <c r="D85" s="102">
        <v>4</v>
      </c>
      <c r="E85" s="57">
        <v>5</v>
      </c>
      <c r="F85" s="57">
        <v>6</v>
      </c>
      <c r="G85" s="57">
        <v>7</v>
      </c>
      <c r="H85" s="57">
        <v>8</v>
      </c>
      <c r="I85" s="57">
        <v>9</v>
      </c>
      <c r="J85" s="57">
        <v>10</v>
      </c>
      <c r="K85" s="58">
        <v>11</v>
      </c>
      <c r="L85" s="102">
        <v>12</v>
      </c>
      <c r="M85" s="102">
        <v>13</v>
      </c>
      <c r="N85" s="102">
        <v>14</v>
      </c>
      <c r="O85" s="103">
        <v>15</v>
      </c>
      <c r="P85" s="102">
        <v>16</v>
      </c>
      <c r="Q85" s="102">
        <v>17</v>
      </c>
      <c r="R85" s="102">
        <v>18</v>
      </c>
      <c r="S85" s="105">
        <v>19</v>
      </c>
    </row>
    <row r="86" spans="1:19" s="112" customFormat="1" ht="36" customHeight="1" hidden="1" thickTop="1">
      <c r="A86" s="106">
        <v>1</v>
      </c>
      <c r="B86" s="107" t="s">
        <v>234</v>
      </c>
      <c r="C86" s="62" t="s">
        <v>180</v>
      </c>
      <c r="D86" s="108" t="str">
        <f>B$82</f>
        <v>Мультстудия</v>
      </c>
      <c r="E86" s="63">
        <f>ROUND(O86/18/4,2)</f>
        <v>0</v>
      </c>
      <c r="F86" s="63"/>
      <c r="G86" s="110">
        <f>E86*F86</f>
        <v>0</v>
      </c>
      <c r="H86" s="64">
        <v>0</v>
      </c>
      <c r="I86" s="64">
        <v>0</v>
      </c>
      <c r="J86" s="372" t="e">
        <f>K86/G86</f>
        <v>#DIV/0!</v>
      </c>
      <c r="K86" s="65">
        <f>N86*O86*P86</f>
        <v>0</v>
      </c>
      <c r="L86" s="106">
        <f aca="true" t="shared" si="30" ref="L86:L95">18*25*4</f>
        <v>1800</v>
      </c>
      <c r="M86" s="106"/>
      <c r="N86" s="106"/>
      <c r="O86" s="63"/>
      <c r="P86" s="111"/>
      <c r="Q86" s="110">
        <f>N86*O86*P86</f>
        <v>0</v>
      </c>
      <c r="R86" s="110">
        <f>Q86*0.15</f>
        <v>0</v>
      </c>
      <c r="S86" s="110">
        <f>Q86+R86</f>
        <v>0</v>
      </c>
    </row>
    <row r="87" spans="1:19" s="39" customFormat="1" ht="12.75" hidden="1">
      <c r="A87" s="71">
        <v>2</v>
      </c>
      <c r="B87" s="70"/>
      <c r="C87" s="71" t="s">
        <v>52</v>
      </c>
      <c r="D87" s="72" t="str">
        <f aca="true" t="shared" si="31" ref="D87:D95">B$82</f>
        <v>Мультстудия</v>
      </c>
      <c r="E87" s="71"/>
      <c r="F87" s="71">
        <f aca="true" t="shared" si="32" ref="F87:F95">ROUND(O87/18/4,2)</f>
        <v>0</v>
      </c>
      <c r="G87" s="71">
        <v>7570</v>
      </c>
      <c r="H87" s="73">
        <f>H$24</f>
        <v>0</v>
      </c>
      <c r="I87" s="73">
        <v>0</v>
      </c>
      <c r="J87" s="71"/>
      <c r="K87" s="74">
        <f aca="true" t="shared" si="33" ref="K87:K95">(G87+G87*(H87+I87))*J87</f>
        <v>0</v>
      </c>
      <c r="L87" s="71">
        <f t="shared" si="30"/>
        <v>1800</v>
      </c>
      <c r="M87" s="71">
        <f aca="true" t="shared" si="34" ref="M87:M95">N87*O87</f>
        <v>0</v>
      </c>
      <c r="N87" s="71"/>
      <c r="O87" s="71"/>
      <c r="P87" s="75">
        <f aca="true" t="shared" si="35" ref="P87:P95">ROUND(K87/L87,2)</f>
        <v>0</v>
      </c>
      <c r="Q87" s="74">
        <f aca="true" t="shared" si="36" ref="Q87:Q95">N87*O87*P87</f>
        <v>0</v>
      </c>
      <c r="R87" s="74">
        <f aca="true" t="shared" si="37" ref="R87:R95">Q87*0.15</f>
        <v>0</v>
      </c>
      <c r="S87" s="74">
        <f aca="true" t="shared" si="38" ref="S87:S95">Q87+R87</f>
        <v>0</v>
      </c>
    </row>
    <row r="88" spans="1:19" s="39" customFormat="1" ht="12.75" hidden="1">
      <c r="A88" s="71">
        <v>3</v>
      </c>
      <c r="B88" s="70"/>
      <c r="C88" s="71" t="s">
        <v>52</v>
      </c>
      <c r="D88" s="72" t="str">
        <f t="shared" si="31"/>
        <v>Мультстудия</v>
      </c>
      <c r="E88" s="71"/>
      <c r="F88" s="71">
        <f t="shared" si="32"/>
        <v>0</v>
      </c>
      <c r="G88" s="71">
        <v>7570</v>
      </c>
      <c r="H88" s="73">
        <f aca="true" t="shared" si="39" ref="H88:H95">H$24</f>
        <v>0</v>
      </c>
      <c r="I88" s="73"/>
      <c r="J88" s="71"/>
      <c r="K88" s="74">
        <f t="shared" si="33"/>
        <v>0</v>
      </c>
      <c r="L88" s="71">
        <f t="shared" si="30"/>
        <v>1800</v>
      </c>
      <c r="M88" s="71">
        <f t="shared" si="34"/>
        <v>0</v>
      </c>
      <c r="N88" s="71"/>
      <c r="O88" s="71"/>
      <c r="P88" s="75">
        <f t="shared" si="35"/>
        <v>0</v>
      </c>
      <c r="Q88" s="74">
        <f t="shared" si="36"/>
        <v>0</v>
      </c>
      <c r="R88" s="74">
        <f t="shared" si="37"/>
        <v>0</v>
      </c>
      <c r="S88" s="74">
        <f t="shared" si="38"/>
        <v>0</v>
      </c>
    </row>
    <row r="89" spans="1:19" s="39" customFormat="1" ht="12.75" hidden="1">
      <c r="A89" s="71">
        <v>4</v>
      </c>
      <c r="B89" s="70"/>
      <c r="C89" s="71" t="s">
        <v>52</v>
      </c>
      <c r="D89" s="72" t="str">
        <f t="shared" si="31"/>
        <v>Мультстудия</v>
      </c>
      <c r="E89" s="71"/>
      <c r="F89" s="71">
        <f t="shared" si="32"/>
        <v>0</v>
      </c>
      <c r="G89" s="71">
        <v>7570</v>
      </c>
      <c r="H89" s="73">
        <f t="shared" si="39"/>
        <v>0</v>
      </c>
      <c r="I89" s="73"/>
      <c r="J89" s="71"/>
      <c r="K89" s="74">
        <f t="shared" si="33"/>
        <v>0</v>
      </c>
      <c r="L89" s="71">
        <f t="shared" si="30"/>
        <v>1800</v>
      </c>
      <c r="M89" s="71">
        <f t="shared" si="34"/>
        <v>0</v>
      </c>
      <c r="N89" s="71"/>
      <c r="O89" s="71"/>
      <c r="P89" s="75">
        <f t="shared" si="35"/>
        <v>0</v>
      </c>
      <c r="Q89" s="74">
        <f t="shared" si="36"/>
        <v>0</v>
      </c>
      <c r="R89" s="74">
        <f t="shared" si="37"/>
        <v>0</v>
      </c>
      <c r="S89" s="74">
        <f t="shared" si="38"/>
        <v>0</v>
      </c>
    </row>
    <row r="90" spans="1:19" s="39" customFormat="1" ht="12.75" hidden="1">
      <c r="A90" s="71">
        <v>5</v>
      </c>
      <c r="B90" s="70"/>
      <c r="C90" s="71" t="s">
        <v>52</v>
      </c>
      <c r="D90" s="72" t="str">
        <f t="shared" si="31"/>
        <v>Мультстудия</v>
      </c>
      <c r="E90" s="71"/>
      <c r="F90" s="71">
        <f t="shared" si="32"/>
        <v>0</v>
      </c>
      <c r="G90" s="71">
        <v>7570</v>
      </c>
      <c r="H90" s="73">
        <f t="shared" si="39"/>
        <v>0</v>
      </c>
      <c r="I90" s="73"/>
      <c r="J90" s="71"/>
      <c r="K90" s="74">
        <f t="shared" si="33"/>
        <v>0</v>
      </c>
      <c r="L90" s="71">
        <f t="shared" si="30"/>
        <v>1800</v>
      </c>
      <c r="M90" s="71">
        <f t="shared" si="34"/>
        <v>0</v>
      </c>
      <c r="N90" s="71"/>
      <c r="O90" s="71"/>
      <c r="P90" s="75">
        <f t="shared" si="35"/>
        <v>0</v>
      </c>
      <c r="Q90" s="74">
        <f t="shared" si="36"/>
        <v>0</v>
      </c>
      <c r="R90" s="74">
        <f t="shared" si="37"/>
        <v>0</v>
      </c>
      <c r="S90" s="74">
        <f t="shared" si="38"/>
        <v>0</v>
      </c>
    </row>
    <row r="91" spans="1:19" s="39" customFormat="1" ht="12.75" hidden="1">
      <c r="A91" s="71">
        <v>6</v>
      </c>
      <c r="B91" s="70"/>
      <c r="C91" s="71" t="s">
        <v>52</v>
      </c>
      <c r="D91" s="72" t="str">
        <f t="shared" si="31"/>
        <v>Мультстудия</v>
      </c>
      <c r="E91" s="71"/>
      <c r="F91" s="71">
        <f t="shared" si="32"/>
        <v>0</v>
      </c>
      <c r="G91" s="71">
        <v>7570</v>
      </c>
      <c r="H91" s="73">
        <f t="shared" si="39"/>
        <v>0</v>
      </c>
      <c r="I91" s="73"/>
      <c r="J91" s="71"/>
      <c r="K91" s="74">
        <f t="shared" si="33"/>
        <v>0</v>
      </c>
      <c r="L91" s="71">
        <f t="shared" si="30"/>
        <v>1800</v>
      </c>
      <c r="M91" s="71">
        <f t="shared" si="34"/>
        <v>0</v>
      </c>
      <c r="N91" s="71"/>
      <c r="O91" s="71"/>
      <c r="P91" s="75">
        <f t="shared" si="35"/>
        <v>0</v>
      </c>
      <c r="Q91" s="74">
        <f t="shared" si="36"/>
        <v>0</v>
      </c>
      <c r="R91" s="74">
        <f t="shared" si="37"/>
        <v>0</v>
      </c>
      <c r="S91" s="74">
        <f t="shared" si="38"/>
        <v>0</v>
      </c>
    </row>
    <row r="92" spans="1:19" s="39" customFormat="1" ht="12.75" hidden="1">
      <c r="A92" s="71">
        <v>7</v>
      </c>
      <c r="B92" s="70"/>
      <c r="C92" s="71" t="s">
        <v>52</v>
      </c>
      <c r="D92" s="72" t="str">
        <f t="shared" si="31"/>
        <v>Мультстудия</v>
      </c>
      <c r="E92" s="71"/>
      <c r="F92" s="71">
        <f t="shared" si="32"/>
        <v>0</v>
      </c>
      <c r="G92" s="71">
        <v>7570</v>
      </c>
      <c r="H92" s="73">
        <f t="shared" si="39"/>
        <v>0</v>
      </c>
      <c r="I92" s="73"/>
      <c r="J92" s="71"/>
      <c r="K92" s="74">
        <f t="shared" si="33"/>
        <v>0</v>
      </c>
      <c r="L92" s="71">
        <f t="shared" si="30"/>
        <v>1800</v>
      </c>
      <c r="M92" s="71">
        <f t="shared" si="34"/>
        <v>0</v>
      </c>
      <c r="N92" s="71"/>
      <c r="O92" s="71"/>
      <c r="P92" s="75">
        <f t="shared" si="35"/>
        <v>0</v>
      </c>
      <c r="Q92" s="74">
        <f t="shared" si="36"/>
        <v>0</v>
      </c>
      <c r="R92" s="74">
        <f t="shared" si="37"/>
        <v>0</v>
      </c>
      <c r="S92" s="74">
        <f t="shared" si="38"/>
        <v>0</v>
      </c>
    </row>
    <row r="93" spans="1:19" s="39" customFormat="1" ht="12.75" hidden="1">
      <c r="A93" s="71">
        <v>8</v>
      </c>
      <c r="B93" s="70"/>
      <c r="C93" s="71" t="s">
        <v>52</v>
      </c>
      <c r="D93" s="72" t="str">
        <f t="shared" si="31"/>
        <v>Мультстудия</v>
      </c>
      <c r="E93" s="71"/>
      <c r="F93" s="71">
        <f t="shared" si="32"/>
        <v>0</v>
      </c>
      <c r="G93" s="71">
        <v>7570</v>
      </c>
      <c r="H93" s="73">
        <f t="shared" si="39"/>
        <v>0</v>
      </c>
      <c r="I93" s="73"/>
      <c r="J93" s="71"/>
      <c r="K93" s="74">
        <f t="shared" si="33"/>
        <v>0</v>
      </c>
      <c r="L93" s="71">
        <f t="shared" si="30"/>
        <v>1800</v>
      </c>
      <c r="M93" s="71">
        <f t="shared" si="34"/>
        <v>0</v>
      </c>
      <c r="N93" s="71"/>
      <c r="O93" s="71"/>
      <c r="P93" s="75">
        <f t="shared" si="35"/>
        <v>0</v>
      </c>
      <c r="Q93" s="74">
        <f t="shared" si="36"/>
        <v>0</v>
      </c>
      <c r="R93" s="74">
        <f t="shared" si="37"/>
        <v>0</v>
      </c>
      <c r="S93" s="74">
        <f t="shared" si="38"/>
        <v>0</v>
      </c>
    </row>
    <row r="94" spans="1:19" s="39" customFormat="1" ht="12.75" hidden="1">
      <c r="A94" s="71">
        <v>9</v>
      </c>
      <c r="B94" s="70"/>
      <c r="C94" s="71" t="s">
        <v>52</v>
      </c>
      <c r="D94" s="72" t="str">
        <f t="shared" si="31"/>
        <v>Мультстудия</v>
      </c>
      <c r="E94" s="71"/>
      <c r="F94" s="71">
        <f t="shared" si="32"/>
        <v>0</v>
      </c>
      <c r="G94" s="71">
        <v>7570</v>
      </c>
      <c r="H94" s="73">
        <f t="shared" si="39"/>
        <v>0</v>
      </c>
      <c r="I94" s="73"/>
      <c r="J94" s="71"/>
      <c r="K94" s="74">
        <f t="shared" si="33"/>
        <v>0</v>
      </c>
      <c r="L94" s="71">
        <f t="shared" si="30"/>
        <v>1800</v>
      </c>
      <c r="M94" s="71">
        <f t="shared" si="34"/>
        <v>0</v>
      </c>
      <c r="N94" s="71"/>
      <c r="O94" s="71"/>
      <c r="P94" s="75">
        <f t="shared" si="35"/>
        <v>0</v>
      </c>
      <c r="Q94" s="74">
        <f t="shared" si="36"/>
        <v>0</v>
      </c>
      <c r="R94" s="74">
        <f t="shared" si="37"/>
        <v>0</v>
      </c>
      <c r="S94" s="74">
        <f t="shared" si="38"/>
        <v>0</v>
      </c>
    </row>
    <row r="95" spans="1:19" s="39" customFormat="1" ht="12.75" hidden="1">
      <c r="A95" s="71">
        <v>10</v>
      </c>
      <c r="B95" s="70"/>
      <c r="C95" s="71" t="s">
        <v>52</v>
      </c>
      <c r="D95" s="72" t="str">
        <f t="shared" si="31"/>
        <v>Мультстудия</v>
      </c>
      <c r="E95" s="71"/>
      <c r="F95" s="71">
        <f t="shared" si="32"/>
        <v>0</v>
      </c>
      <c r="G95" s="71">
        <v>7570</v>
      </c>
      <c r="H95" s="73">
        <f t="shared" si="39"/>
        <v>0</v>
      </c>
      <c r="I95" s="73"/>
      <c r="J95" s="71"/>
      <c r="K95" s="74">
        <f t="shared" si="33"/>
        <v>0</v>
      </c>
      <c r="L95" s="71">
        <f t="shared" si="30"/>
        <v>1800</v>
      </c>
      <c r="M95" s="71">
        <f t="shared" si="34"/>
        <v>0</v>
      </c>
      <c r="N95" s="71"/>
      <c r="O95" s="71"/>
      <c r="P95" s="75">
        <f t="shared" si="35"/>
        <v>0</v>
      </c>
      <c r="Q95" s="74">
        <f t="shared" si="36"/>
        <v>0</v>
      </c>
      <c r="R95" s="74">
        <f t="shared" si="37"/>
        <v>0</v>
      </c>
      <c r="S95" s="74">
        <f t="shared" si="38"/>
        <v>0</v>
      </c>
    </row>
    <row r="96" spans="1:19" s="39" customFormat="1" ht="13.5" hidden="1" thickBot="1">
      <c r="A96" s="113"/>
      <c r="B96" s="114"/>
      <c r="C96" s="114"/>
      <c r="D96" s="114" t="s">
        <v>53</v>
      </c>
      <c r="E96" s="114"/>
      <c r="F96" s="115">
        <f>SUM(F86:F95)</f>
        <v>0</v>
      </c>
      <c r="G96" s="114"/>
      <c r="H96" s="114"/>
      <c r="I96" s="114"/>
      <c r="J96" s="114"/>
      <c r="K96" s="116"/>
      <c r="L96" s="114"/>
      <c r="M96" s="117">
        <f>SUM(M86:M95)</f>
        <v>0</v>
      </c>
      <c r="N96" s="117">
        <f>SUM(N86:N95)</f>
        <v>0</v>
      </c>
      <c r="O96" s="117">
        <f>SUM(O86:O95)</f>
        <v>0</v>
      </c>
      <c r="P96" s="114"/>
      <c r="Q96" s="115">
        <f>SUM(Q86:Q95)</f>
        <v>0</v>
      </c>
      <c r="R96" s="115">
        <f>SUM(R86:R95)</f>
        <v>0</v>
      </c>
      <c r="S96" s="115">
        <f>SUM(S86:S95)</f>
        <v>0</v>
      </c>
    </row>
    <row r="97" spans="1:19" s="39" customFormat="1" ht="13.5" hidden="1" thickBot="1">
      <c r="A97" s="118"/>
      <c r="B97" s="92"/>
      <c r="C97" s="92"/>
      <c r="D97" s="92"/>
      <c r="E97" s="92"/>
      <c r="F97" s="93"/>
      <c r="G97" s="92"/>
      <c r="H97" s="92"/>
      <c r="I97" s="92"/>
      <c r="J97" s="92"/>
      <c r="K97" s="94"/>
      <c r="L97" s="92"/>
      <c r="M97" s="95"/>
      <c r="N97" s="95">
        <f>доходы!C17</f>
        <v>10</v>
      </c>
      <c r="O97" s="96" t="s">
        <v>116</v>
      </c>
      <c r="P97" s="119"/>
      <c r="Q97" s="120"/>
      <c r="R97" s="121"/>
      <c r="S97" s="121"/>
    </row>
    <row r="98" spans="1:19" s="39" customFormat="1" ht="12.75" hidden="1">
      <c r="A98" s="53" t="s">
        <v>119</v>
      </c>
      <c r="B98" s="41" t="e">
        <f>доходы!#REF!</f>
        <v>#REF!</v>
      </c>
      <c r="F98" s="40"/>
      <c r="G98" s="40"/>
      <c r="H98" s="40"/>
      <c r="I98" s="40"/>
      <c r="J98" s="40"/>
      <c r="K98" s="50"/>
      <c r="L98" s="40"/>
      <c r="M98" s="40"/>
      <c r="N98" s="40"/>
      <c r="O98" s="40"/>
      <c r="P98" s="40"/>
      <c r="Q98" s="40"/>
      <c r="R98" s="40"/>
      <c r="S98" s="40"/>
    </row>
    <row r="99" spans="1:19" s="39" customFormat="1" ht="13.5" hidden="1" thickBo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50"/>
      <c r="L99" s="40"/>
      <c r="M99" s="40"/>
      <c r="N99" s="40"/>
      <c r="O99" s="40"/>
      <c r="P99" s="40"/>
      <c r="Q99" s="40"/>
      <c r="R99" s="40"/>
      <c r="S99" s="40"/>
    </row>
    <row r="100" spans="1:19" s="39" customFormat="1" ht="51.75" hidden="1" thickBot="1">
      <c r="A100" s="54" t="s">
        <v>1</v>
      </c>
      <c r="B100" s="54" t="s">
        <v>2</v>
      </c>
      <c r="C100" s="54" t="s">
        <v>8</v>
      </c>
      <c r="D100" s="54" t="s">
        <v>3</v>
      </c>
      <c r="E100" s="54" t="s">
        <v>214</v>
      </c>
      <c r="F100" s="54" t="s">
        <v>215</v>
      </c>
      <c r="G100" s="54" t="s">
        <v>216</v>
      </c>
      <c r="H100" s="54" t="s">
        <v>117</v>
      </c>
      <c r="I100" s="54" t="s">
        <v>99</v>
      </c>
      <c r="J100" s="54" t="s">
        <v>213</v>
      </c>
      <c r="K100" s="55" t="s">
        <v>66</v>
      </c>
      <c r="L100" s="99" t="s">
        <v>67</v>
      </c>
      <c r="M100" s="54" t="s">
        <v>6</v>
      </c>
      <c r="N100" s="54" t="s">
        <v>54</v>
      </c>
      <c r="O100" s="54" t="s">
        <v>7</v>
      </c>
      <c r="P100" s="54" t="s">
        <v>48</v>
      </c>
      <c r="Q100" s="54" t="s">
        <v>49</v>
      </c>
      <c r="R100" s="54" t="s">
        <v>50</v>
      </c>
      <c r="S100" s="54" t="s">
        <v>51</v>
      </c>
    </row>
    <row r="101" spans="1:19" s="39" customFormat="1" ht="13.5" hidden="1" thickBot="1">
      <c r="A101" s="56">
        <v>1</v>
      </c>
      <c r="B101" s="57">
        <v>2</v>
      </c>
      <c r="C101" s="57">
        <v>3</v>
      </c>
      <c r="D101" s="57">
        <v>4</v>
      </c>
      <c r="E101" s="57">
        <v>5</v>
      </c>
      <c r="F101" s="57">
        <v>6</v>
      </c>
      <c r="G101" s="57">
        <v>7</v>
      </c>
      <c r="H101" s="57">
        <v>8</v>
      </c>
      <c r="I101" s="57">
        <v>9</v>
      </c>
      <c r="J101" s="57">
        <v>10</v>
      </c>
      <c r="K101" s="58">
        <v>11</v>
      </c>
      <c r="L101" s="102">
        <v>12</v>
      </c>
      <c r="M101" s="57">
        <v>13</v>
      </c>
      <c r="N101" s="57">
        <v>14</v>
      </c>
      <c r="O101" s="57">
        <v>15</v>
      </c>
      <c r="P101" s="57">
        <v>16</v>
      </c>
      <c r="Q101" s="57">
        <v>17</v>
      </c>
      <c r="R101" s="57">
        <v>18</v>
      </c>
      <c r="S101" s="59">
        <v>19</v>
      </c>
    </row>
    <row r="102" spans="1:19" s="112" customFormat="1" ht="42" customHeight="1" hidden="1" thickBot="1" thickTop="1">
      <c r="A102" s="123">
        <v>1</v>
      </c>
      <c r="B102" s="124"/>
      <c r="C102" s="62" t="s">
        <v>180</v>
      </c>
      <c r="D102" s="124" t="e">
        <f>B$98</f>
        <v>#REF!</v>
      </c>
      <c r="E102" s="63">
        <f>ROUND(O102/18/4,2)</f>
        <v>0</v>
      </c>
      <c r="F102" s="63">
        <v>8570</v>
      </c>
      <c r="G102" s="110">
        <f>E102*F102</f>
        <v>0</v>
      </c>
      <c r="H102" s="64">
        <v>0</v>
      </c>
      <c r="I102" s="64">
        <v>0</v>
      </c>
      <c r="J102" s="372" t="e">
        <f>K102/G102</f>
        <v>#DIV/0!</v>
      </c>
      <c r="K102" s="65">
        <f>N102*O102*P102</f>
        <v>0</v>
      </c>
      <c r="L102" s="106">
        <f>18*25*4</f>
        <v>1800</v>
      </c>
      <c r="M102" s="125">
        <f>N102*O102</f>
        <v>0</v>
      </c>
      <c r="N102" s="125"/>
      <c r="O102" s="63"/>
      <c r="P102" s="128"/>
      <c r="Q102" s="127">
        <f>N102*O102*P102</f>
        <v>0</v>
      </c>
      <c r="R102" s="127">
        <f>Q102*0.15</f>
        <v>0</v>
      </c>
      <c r="S102" s="129">
        <f>Q102+R102</f>
        <v>0</v>
      </c>
    </row>
    <row r="103" spans="1:19" s="39" customFormat="1" ht="12.75" hidden="1">
      <c r="A103" s="130">
        <v>2</v>
      </c>
      <c r="B103" s="131"/>
      <c r="C103" s="130" t="s">
        <v>52</v>
      </c>
      <c r="D103" s="132" t="e">
        <f aca="true" t="shared" si="40" ref="D103:D111">B$98</f>
        <v>#REF!</v>
      </c>
      <c r="E103" s="130"/>
      <c r="F103" s="130">
        <f aca="true" t="shared" si="41" ref="F103:F111">ROUND(O103/18/4,2)</f>
        <v>0</v>
      </c>
      <c r="G103" s="130">
        <v>7570</v>
      </c>
      <c r="H103" s="133">
        <f>H$24</f>
        <v>0</v>
      </c>
      <c r="I103" s="133">
        <v>0</v>
      </c>
      <c r="J103" s="130"/>
      <c r="K103" s="134">
        <f aca="true" t="shared" si="42" ref="K103:K111">(G103+G103*(H103+I103))*J103</f>
        <v>0</v>
      </c>
      <c r="L103" s="130">
        <f aca="true" t="shared" si="43" ref="L103:L111">18*25*4</f>
        <v>1800</v>
      </c>
      <c r="M103" s="130">
        <f aca="true" t="shared" si="44" ref="M103:M111">N103*O103</f>
        <v>0</v>
      </c>
      <c r="N103" s="130"/>
      <c r="O103" s="130"/>
      <c r="P103" s="135">
        <f aca="true" t="shared" si="45" ref="P103:P111">ROUND(K103/L103,2)</f>
        <v>0</v>
      </c>
      <c r="Q103" s="134">
        <f aca="true" t="shared" si="46" ref="Q103:Q111">N103*O103*P103</f>
        <v>0</v>
      </c>
      <c r="R103" s="134">
        <f aca="true" t="shared" si="47" ref="R103:R111">Q103*0.15</f>
        <v>0</v>
      </c>
      <c r="S103" s="134">
        <f aca="true" t="shared" si="48" ref="S103:S111">Q103+R103</f>
        <v>0</v>
      </c>
    </row>
    <row r="104" spans="1:19" s="39" customFormat="1" ht="12.75" hidden="1">
      <c r="A104" s="71">
        <v>3</v>
      </c>
      <c r="B104" s="70"/>
      <c r="C104" s="71" t="s">
        <v>52</v>
      </c>
      <c r="D104" s="72" t="e">
        <f t="shared" si="40"/>
        <v>#REF!</v>
      </c>
      <c r="E104" s="71"/>
      <c r="F104" s="71">
        <f t="shared" si="41"/>
        <v>0</v>
      </c>
      <c r="G104" s="71">
        <v>7570</v>
      </c>
      <c r="H104" s="73">
        <f aca="true" t="shared" si="49" ref="H104:H111">H$24</f>
        <v>0</v>
      </c>
      <c r="I104" s="73"/>
      <c r="J104" s="71"/>
      <c r="K104" s="74">
        <f t="shared" si="42"/>
        <v>0</v>
      </c>
      <c r="L104" s="71">
        <f t="shared" si="43"/>
        <v>1800</v>
      </c>
      <c r="M104" s="71">
        <f t="shared" si="44"/>
        <v>0</v>
      </c>
      <c r="N104" s="71"/>
      <c r="O104" s="71"/>
      <c r="P104" s="75">
        <f t="shared" si="45"/>
        <v>0</v>
      </c>
      <c r="Q104" s="74">
        <f t="shared" si="46"/>
        <v>0</v>
      </c>
      <c r="R104" s="74">
        <f t="shared" si="47"/>
        <v>0</v>
      </c>
      <c r="S104" s="74">
        <f t="shared" si="48"/>
        <v>0</v>
      </c>
    </row>
    <row r="105" spans="1:19" s="39" customFormat="1" ht="12.75" hidden="1">
      <c r="A105" s="71">
        <v>4</v>
      </c>
      <c r="B105" s="70"/>
      <c r="C105" s="71" t="s">
        <v>52</v>
      </c>
      <c r="D105" s="72" t="e">
        <f t="shared" si="40"/>
        <v>#REF!</v>
      </c>
      <c r="E105" s="71"/>
      <c r="F105" s="71">
        <f t="shared" si="41"/>
        <v>0</v>
      </c>
      <c r="G105" s="71">
        <v>7570</v>
      </c>
      <c r="H105" s="73">
        <f t="shared" si="49"/>
        <v>0</v>
      </c>
      <c r="I105" s="73"/>
      <c r="J105" s="71"/>
      <c r="K105" s="74">
        <f t="shared" si="42"/>
        <v>0</v>
      </c>
      <c r="L105" s="71">
        <f t="shared" si="43"/>
        <v>1800</v>
      </c>
      <c r="M105" s="71">
        <f t="shared" si="44"/>
        <v>0</v>
      </c>
      <c r="N105" s="71"/>
      <c r="O105" s="71"/>
      <c r="P105" s="75">
        <f t="shared" si="45"/>
        <v>0</v>
      </c>
      <c r="Q105" s="74">
        <f t="shared" si="46"/>
        <v>0</v>
      </c>
      <c r="R105" s="74">
        <f t="shared" si="47"/>
        <v>0</v>
      </c>
      <c r="S105" s="74">
        <f t="shared" si="48"/>
        <v>0</v>
      </c>
    </row>
    <row r="106" spans="1:19" s="39" customFormat="1" ht="12.75" hidden="1">
      <c r="A106" s="71">
        <v>5</v>
      </c>
      <c r="B106" s="70"/>
      <c r="C106" s="71" t="s">
        <v>52</v>
      </c>
      <c r="D106" s="72" t="e">
        <f t="shared" si="40"/>
        <v>#REF!</v>
      </c>
      <c r="E106" s="71"/>
      <c r="F106" s="71">
        <f t="shared" si="41"/>
        <v>0</v>
      </c>
      <c r="G106" s="71">
        <v>7570</v>
      </c>
      <c r="H106" s="73">
        <f t="shared" si="49"/>
        <v>0</v>
      </c>
      <c r="I106" s="73"/>
      <c r="J106" s="71"/>
      <c r="K106" s="74">
        <f t="shared" si="42"/>
        <v>0</v>
      </c>
      <c r="L106" s="71">
        <f t="shared" si="43"/>
        <v>1800</v>
      </c>
      <c r="M106" s="71">
        <f t="shared" si="44"/>
        <v>0</v>
      </c>
      <c r="N106" s="71"/>
      <c r="O106" s="71"/>
      <c r="P106" s="75">
        <f t="shared" si="45"/>
        <v>0</v>
      </c>
      <c r="Q106" s="74">
        <f t="shared" si="46"/>
        <v>0</v>
      </c>
      <c r="R106" s="74">
        <f t="shared" si="47"/>
        <v>0</v>
      </c>
      <c r="S106" s="74">
        <f t="shared" si="48"/>
        <v>0</v>
      </c>
    </row>
    <row r="107" spans="1:19" s="39" customFormat="1" ht="12.75" hidden="1">
      <c r="A107" s="71">
        <v>6</v>
      </c>
      <c r="B107" s="70"/>
      <c r="C107" s="71" t="s">
        <v>52</v>
      </c>
      <c r="D107" s="72" t="e">
        <f t="shared" si="40"/>
        <v>#REF!</v>
      </c>
      <c r="E107" s="71"/>
      <c r="F107" s="71">
        <f t="shared" si="41"/>
        <v>0</v>
      </c>
      <c r="G107" s="71">
        <v>7570</v>
      </c>
      <c r="H107" s="73">
        <f t="shared" si="49"/>
        <v>0</v>
      </c>
      <c r="I107" s="73"/>
      <c r="J107" s="71"/>
      <c r="K107" s="74">
        <f t="shared" si="42"/>
        <v>0</v>
      </c>
      <c r="L107" s="71">
        <f t="shared" si="43"/>
        <v>1800</v>
      </c>
      <c r="M107" s="71">
        <f t="shared" si="44"/>
        <v>0</v>
      </c>
      <c r="N107" s="71"/>
      <c r="O107" s="71"/>
      <c r="P107" s="75">
        <f t="shared" si="45"/>
        <v>0</v>
      </c>
      <c r="Q107" s="74">
        <f t="shared" si="46"/>
        <v>0</v>
      </c>
      <c r="R107" s="74">
        <f t="shared" si="47"/>
        <v>0</v>
      </c>
      <c r="S107" s="74">
        <f t="shared" si="48"/>
        <v>0</v>
      </c>
    </row>
    <row r="108" spans="1:19" s="39" customFormat="1" ht="12.75" hidden="1">
      <c r="A108" s="71">
        <v>7</v>
      </c>
      <c r="B108" s="70"/>
      <c r="C108" s="71" t="s">
        <v>52</v>
      </c>
      <c r="D108" s="72" t="e">
        <f t="shared" si="40"/>
        <v>#REF!</v>
      </c>
      <c r="E108" s="71"/>
      <c r="F108" s="71">
        <f t="shared" si="41"/>
        <v>0</v>
      </c>
      <c r="G108" s="71">
        <v>7570</v>
      </c>
      <c r="H108" s="73">
        <f t="shared" si="49"/>
        <v>0</v>
      </c>
      <c r="I108" s="73"/>
      <c r="J108" s="71"/>
      <c r="K108" s="74">
        <f t="shared" si="42"/>
        <v>0</v>
      </c>
      <c r="L108" s="71">
        <f t="shared" si="43"/>
        <v>1800</v>
      </c>
      <c r="M108" s="71">
        <f t="shared" si="44"/>
        <v>0</v>
      </c>
      <c r="N108" s="71"/>
      <c r="O108" s="71"/>
      <c r="P108" s="75">
        <f t="shared" si="45"/>
        <v>0</v>
      </c>
      <c r="Q108" s="74">
        <f t="shared" si="46"/>
        <v>0</v>
      </c>
      <c r="R108" s="74">
        <f t="shared" si="47"/>
        <v>0</v>
      </c>
      <c r="S108" s="74">
        <f t="shared" si="48"/>
        <v>0</v>
      </c>
    </row>
    <row r="109" spans="1:19" s="39" customFormat="1" ht="12.75" hidden="1">
      <c r="A109" s="71">
        <v>8</v>
      </c>
      <c r="B109" s="70"/>
      <c r="C109" s="71" t="s">
        <v>52</v>
      </c>
      <c r="D109" s="72" t="e">
        <f t="shared" si="40"/>
        <v>#REF!</v>
      </c>
      <c r="E109" s="71"/>
      <c r="F109" s="71">
        <f t="shared" si="41"/>
        <v>0</v>
      </c>
      <c r="G109" s="71">
        <v>7570</v>
      </c>
      <c r="H109" s="73">
        <f t="shared" si="49"/>
        <v>0</v>
      </c>
      <c r="I109" s="73"/>
      <c r="J109" s="71"/>
      <c r="K109" s="74">
        <f t="shared" si="42"/>
        <v>0</v>
      </c>
      <c r="L109" s="71">
        <f t="shared" si="43"/>
        <v>1800</v>
      </c>
      <c r="M109" s="71">
        <f t="shared" si="44"/>
        <v>0</v>
      </c>
      <c r="N109" s="71"/>
      <c r="O109" s="71"/>
      <c r="P109" s="75">
        <f t="shared" si="45"/>
        <v>0</v>
      </c>
      <c r="Q109" s="74">
        <f t="shared" si="46"/>
        <v>0</v>
      </c>
      <c r="R109" s="74">
        <f t="shared" si="47"/>
        <v>0</v>
      </c>
      <c r="S109" s="74">
        <f t="shared" si="48"/>
        <v>0</v>
      </c>
    </row>
    <row r="110" spans="1:19" s="39" customFormat="1" ht="12.75" hidden="1">
      <c r="A110" s="71">
        <v>9</v>
      </c>
      <c r="B110" s="70"/>
      <c r="C110" s="71" t="s">
        <v>52</v>
      </c>
      <c r="D110" s="72" t="e">
        <f t="shared" si="40"/>
        <v>#REF!</v>
      </c>
      <c r="E110" s="71"/>
      <c r="F110" s="71">
        <f t="shared" si="41"/>
        <v>0</v>
      </c>
      <c r="G110" s="71">
        <v>7570</v>
      </c>
      <c r="H110" s="73">
        <f t="shared" si="49"/>
        <v>0</v>
      </c>
      <c r="I110" s="73"/>
      <c r="J110" s="71"/>
      <c r="K110" s="74">
        <f t="shared" si="42"/>
        <v>0</v>
      </c>
      <c r="L110" s="71">
        <f t="shared" si="43"/>
        <v>1800</v>
      </c>
      <c r="M110" s="71">
        <f t="shared" si="44"/>
        <v>0</v>
      </c>
      <c r="N110" s="71"/>
      <c r="O110" s="71"/>
      <c r="P110" s="75">
        <f t="shared" si="45"/>
        <v>0</v>
      </c>
      <c r="Q110" s="74">
        <f t="shared" si="46"/>
        <v>0</v>
      </c>
      <c r="R110" s="74">
        <f t="shared" si="47"/>
        <v>0</v>
      </c>
      <c r="S110" s="74">
        <f t="shared" si="48"/>
        <v>0</v>
      </c>
    </row>
    <row r="111" spans="1:19" s="39" customFormat="1" ht="13.5" hidden="1" thickBot="1">
      <c r="A111" s="79">
        <v>10</v>
      </c>
      <c r="B111" s="78"/>
      <c r="C111" s="79" t="s">
        <v>52</v>
      </c>
      <c r="D111" s="80" t="e">
        <f t="shared" si="40"/>
        <v>#REF!</v>
      </c>
      <c r="E111" s="79"/>
      <c r="F111" s="79">
        <f t="shared" si="41"/>
        <v>0</v>
      </c>
      <c r="G111" s="79">
        <v>7570</v>
      </c>
      <c r="H111" s="81">
        <f t="shared" si="49"/>
        <v>0</v>
      </c>
      <c r="I111" s="81"/>
      <c r="J111" s="79"/>
      <c r="K111" s="82">
        <f t="shared" si="42"/>
        <v>0</v>
      </c>
      <c r="L111" s="79">
        <f t="shared" si="43"/>
        <v>1800</v>
      </c>
      <c r="M111" s="79">
        <f t="shared" si="44"/>
        <v>0</v>
      </c>
      <c r="N111" s="79"/>
      <c r="O111" s="79"/>
      <c r="P111" s="83">
        <f t="shared" si="45"/>
        <v>0</v>
      </c>
      <c r="Q111" s="82">
        <f t="shared" si="46"/>
        <v>0</v>
      </c>
      <c r="R111" s="82">
        <f t="shared" si="47"/>
        <v>0</v>
      </c>
      <c r="S111" s="82">
        <f t="shared" si="48"/>
        <v>0</v>
      </c>
    </row>
    <row r="112" spans="1:19" s="39" customFormat="1" ht="13.5" hidden="1" thickBot="1">
      <c r="A112" s="85"/>
      <c r="B112" s="86"/>
      <c r="C112" s="86"/>
      <c r="D112" s="86" t="s">
        <v>53</v>
      </c>
      <c r="E112" s="86"/>
      <c r="F112" s="87">
        <f>SUM(F102:F111)</f>
        <v>8570</v>
      </c>
      <c r="G112" s="86"/>
      <c r="H112" s="86"/>
      <c r="I112" s="86"/>
      <c r="J112" s="86"/>
      <c r="K112" s="88"/>
      <c r="L112" s="86"/>
      <c r="M112" s="89">
        <f>SUM(M102:M111)</f>
        <v>0</v>
      </c>
      <c r="N112" s="89">
        <f>SUM(N102:N111)</f>
        <v>0</v>
      </c>
      <c r="O112" s="89">
        <f>SUM(O102:O111)</f>
        <v>0</v>
      </c>
      <c r="P112" s="86"/>
      <c r="Q112" s="87">
        <f>SUM(Q102:Q111)</f>
        <v>0</v>
      </c>
      <c r="R112" s="87">
        <f>SUM(R102:R111)</f>
        <v>0</v>
      </c>
      <c r="S112" s="90">
        <f>SUM(S102:S111)</f>
        <v>0</v>
      </c>
    </row>
    <row r="113" spans="1:19" s="39" customFormat="1" ht="12.75" hidden="1">
      <c r="A113" s="118"/>
      <c r="B113" s="92"/>
      <c r="C113" s="92"/>
      <c r="D113" s="92"/>
      <c r="E113" s="92"/>
      <c r="F113" s="93"/>
      <c r="G113" s="92"/>
      <c r="H113" s="92"/>
      <c r="I113" s="92"/>
      <c r="J113" s="92"/>
      <c r="K113" s="94"/>
      <c r="L113" s="92"/>
      <c r="M113" s="95"/>
      <c r="N113" s="95" t="e">
        <f>доходы!#REF!</f>
        <v>#REF!</v>
      </c>
      <c r="O113" s="96" t="s">
        <v>116</v>
      </c>
      <c r="P113" s="92"/>
      <c r="Q113" s="97"/>
      <c r="R113" s="98"/>
      <c r="S113" s="122"/>
    </row>
    <row r="114" spans="1:19" s="39" customFormat="1" ht="12.75" hidden="1">
      <c r="A114" s="53" t="s">
        <v>120</v>
      </c>
      <c r="B114" s="41" t="e">
        <f>доходы!#REF!</f>
        <v>#REF!</v>
      </c>
      <c r="F114" s="40"/>
      <c r="G114" s="40"/>
      <c r="H114" s="40"/>
      <c r="I114" s="40"/>
      <c r="J114" s="40"/>
      <c r="K114" s="50"/>
      <c r="L114" s="40"/>
      <c r="M114" s="40"/>
      <c r="N114" s="40"/>
      <c r="O114" s="40"/>
      <c r="P114" s="40"/>
      <c r="Q114" s="40"/>
      <c r="R114" s="40"/>
      <c r="S114" s="40"/>
    </row>
    <row r="115" spans="1:19" s="39" customFormat="1" ht="13.5" hidden="1" thickBo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50"/>
      <c r="L115" s="40"/>
      <c r="M115" s="40"/>
      <c r="N115" s="40"/>
      <c r="O115" s="40"/>
      <c r="P115" s="40"/>
      <c r="Q115" s="40"/>
      <c r="R115" s="40"/>
      <c r="S115" s="40"/>
    </row>
    <row r="116" spans="1:19" s="39" customFormat="1" ht="51.75" hidden="1" thickBot="1">
      <c r="A116" s="54" t="s">
        <v>1</v>
      </c>
      <c r="B116" s="54" t="s">
        <v>2</v>
      </c>
      <c r="C116" s="54" t="s">
        <v>8</v>
      </c>
      <c r="D116" s="54" t="s">
        <v>3</v>
      </c>
      <c r="E116" s="54" t="s">
        <v>214</v>
      </c>
      <c r="F116" s="54" t="s">
        <v>215</v>
      </c>
      <c r="G116" s="54" t="s">
        <v>216</v>
      </c>
      <c r="H116" s="54" t="s">
        <v>117</v>
      </c>
      <c r="I116" s="54" t="s">
        <v>99</v>
      </c>
      <c r="J116" s="54" t="s">
        <v>213</v>
      </c>
      <c r="K116" s="55" t="s">
        <v>66</v>
      </c>
      <c r="L116" s="99" t="s">
        <v>67</v>
      </c>
      <c r="M116" s="54" t="s">
        <v>6</v>
      </c>
      <c r="N116" s="54" t="s">
        <v>54</v>
      </c>
      <c r="O116" s="54" t="s">
        <v>7</v>
      </c>
      <c r="P116" s="54" t="s">
        <v>48</v>
      </c>
      <c r="Q116" s="54" t="s">
        <v>49</v>
      </c>
      <c r="R116" s="54" t="s">
        <v>50</v>
      </c>
      <c r="S116" s="54" t="s">
        <v>51</v>
      </c>
    </row>
    <row r="117" spans="1:19" s="39" customFormat="1" ht="13.5" hidden="1" thickBot="1">
      <c r="A117" s="56">
        <v>1</v>
      </c>
      <c r="B117" s="57">
        <v>2</v>
      </c>
      <c r="C117" s="57">
        <v>3</v>
      </c>
      <c r="D117" s="57">
        <v>4</v>
      </c>
      <c r="E117" s="57">
        <v>5</v>
      </c>
      <c r="F117" s="57">
        <v>6</v>
      </c>
      <c r="G117" s="57">
        <v>7</v>
      </c>
      <c r="H117" s="57">
        <v>8</v>
      </c>
      <c r="I117" s="57">
        <v>9</v>
      </c>
      <c r="J117" s="57">
        <v>10</v>
      </c>
      <c r="K117" s="58">
        <v>11</v>
      </c>
      <c r="L117" s="102">
        <v>12</v>
      </c>
      <c r="M117" s="57">
        <v>13</v>
      </c>
      <c r="N117" s="57">
        <v>14</v>
      </c>
      <c r="O117" s="57">
        <v>15</v>
      </c>
      <c r="P117" s="57">
        <v>16</v>
      </c>
      <c r="Q117" s="57">
        <v>17</v>
      </c>
      <c r="R117" s="57">
        <v>18</v>
      </c>
      <c r="S117" s="59">
        <v>19</v>
      </c>
    </row>
    <row r="118" spans="1:19" s="112" customFormat="1" ht="43.5" customHeight="1" hidden="1" thickBot="1" thickTop="1">
      <c r="A118" s="60">
        <v>1</v>
      </c>
      <c r="B118" s="61"/>
      <c r="C118" s="62" t="s">
        <v>180</v>
      </c>
      <c r="D118" s="61" t="e">
        <f>B$114</f>
        <v>#REF!</v>
      </c>
      <c r="E118" s="63">
        <f>ROUND(O118/18/4,2)</f>
        <v>0</v>
      </c>
      <c r="F118" s="63">
        <v>8570</v>
      </c>
      <c r="G118" s="110">
        <f>E118*F118</f>
        <v>0</v>
      </c>
      <c r="H118" s="64">
        <v>0</v>
      </c>
      <c r="I118" s="64">
        <v>0</v>
      </c>
      <c r="J118" s="372" t="e">
        <f>K118/G118</f>
        <v>#DIV/0!</v>
      </c>
      <c r="K118" s="65">
        <f>N118*O118*P118</f>
        <v>0</v>
      </c>
      <c r="L118" s="106">
        <f>18*25*4</f>
        <v>1800</v>
      </c>
      <c r="M118" s="63">
        <f>N118*O118</f>
        <v>0</v>
      </c>
      <c r="N118" s="63"/>
      <c r="O118" s="63"/>
      <c r="P118" s="66"/>
      <c r="Q118" s="65">
        <f>N118*O118*P118</f>
        <v>0</v>
      </c>
      <c r="R118" s="65">
        <f>Q118*0.15</f>
        <v>0</v>
      </c>
      <c r="S118" s="67">
        <f>Q118+R118</f>
        <v>0</v>
      </c>
    </row>
    <row r="119" spans="1:19" s="39" customFormat="1" ht="12.75" hidden="1">
      <c r="A119" s="69">
        <v>2</v>
      </c>
      <c r="B119" s="70"/>
      <c r="C119" s="71" t="s">
        <v>52</v>
      </c>
      <c r="D119" s="72" t="e">
        <f aca="true" t="shared" si="50" ref="D119:D127">B$114</f>
        <v>#REF!</v>
      </c>
      <c r="E119" s="71"/>
      <c r="F119" s="71">
        <f aca="true" t="shared" si="51" ref="F119:F127">ROUND(O119/18/4,2)</f>
        <v>0</v>
      </c>
      <c r="G119" s="71">
        <v>7570</v>
      </c>
      <c r="H119" s="73">
        <f>H$24</f>
        <v>0</v>
      </c>
      <c r="I119" s="73">
        <v>0</v>
      </c>
      <c r="J119" s="71"/>
      <c r="K119" s="74">
        <f aca="true" t="shared" si="52" ref="K119:K127">(G119+G119*(H119+I119))*J119</f>
        <v>0</v>
      </c>
      <c r="L119" s="71">
        <f aca="true" t="shared" si="53" ref="L119:L127">18*25*4</f>
        <v>1800</v>
      </c>
      <c r="M119" s="71">
        <f aca="true" t="shared" si="54" ref="M119:M127">N119*O119</f>
        <v>0</v>
      </c>
      <c r="N119" s="71"/>
      <c r="O119" s="71"/>
      <c r="P119" s="75">
        <f aca="true" t="shared" si="55" ref="P119:P127">ROUND(K119/L119,2)</f>
        <v>0</v>
      </c>
      <c r="Q119" s="74">
        <f aca="true" t="shared" si="56" ref="Q119:Q127">N119*O119*P119</f>
        <v>0</v>
      </c>
      <c r="R119" s="74">
        <f aca="true" t="shared" si="57" ref="R119:R127">Q119*0.15</f>
        <v>0</v>
      </c>
      <c r="S119" s="76">
        <f aca="true" t="shared" si="58" ref="S119:S127">Q119+R119</f>
        <v>0</v>
      </c>
    </row>
    <row r="120" spans="1:19" s="39" customFormat="1" ht="12.75" hidden="1">
      <c r="A120" s="69">
        <v>3</v>
      </c>
      <c r="B120" s="70"/>
      <c r="C120" s="71" t="s">
        <v>52</v>
      </c>
      <c r="D120" s="72" t="e">
        <f t="shared" si="50"/>
        <v>#REF!</v>
      </c>
      <c r="E120" s="71"/>
      <c r="F120" s="71">
        <f t="shared" si="51"/>
        <v>0</v>
      </c>
      <c r="G120" s="71">
        <v>7570</v>
      </c>
      <c r="H120" s="73">
        <f aca="true" t="shared" si="59" ref="H120:H127">H$24</f>
        <v>0</v>
      </c>
      <c r="I120" s="73"/>
      <c r="J120" s="71"/>
      <c r="K120" s="74">
        <f t="shared" si="52"/>
        <v>0</v>
      </c>
      <c r="L120" s="71">
        <f t="shared" si="53"/>
        <v>1800</v>
      </c>
      <c r="M120" s="71">
        <f t="shared" si="54"/>
        <v>0</v>
      </c>
      <c r="N120" s="71"/>
      <c r="O120" s="71"/>
      <c r="P120" s="75">
        <f t="shared" si="55"/>
        <v>0</v>
      </c>
      <c r="Q120" s="74">
        <f t="shared" si="56"/>
        <v>0</v>
      </c>
      <c r="R120" s="74">
        <f t="shared" si="57"/>
        <v>0</v>
      </c>
      <c r="S120" s="76">
        <f t="shared" si="58"/>
        <v>0</v>
      </c>
    </row>
    <row r="121" spans="1:19" s="39" customFormat="1" ht="12.75" hidden="1">
      <c r="A121" s="69">
        <v>4</v>
      </c>
      <c r="B121" s="70"/>
      <c r="C121" s="71" t="s">
        <v>52</v>
      </c>
      <c r="D121" s="72" t="e">
        <f t="shared" si="50"/>
        <v>#REF!</v>
      </c>
      <c r="E121" s="71"/>
      <c r="F121" s="71">
        <f t="shared" si="51"/>
        <v>0</v>
      </c>
      <c r="G121" s="71">
        <v>7570</v>
      </c>
      <c r="H121" s="73">
        <f t="shared" si="59"/>
        <v>0</v>
      </c>
      <c r="I121" s="73"/>
      <c r="J121" s="71"/>
      <c r="K121" s="74">
        <f t="shared" si="52"/>
        <v>0</v>
      </c>
      <c r="L121" s="71">
        <f t="shared" si="53"/>
        <v>1800</v>
      </c>
      <c r="M121" s="71">
        <f t="shared" si="54"/>
        <v>0</v>
      </c>
      <c r="N121" s="71"/>
      <c r="O121" s="71"/>
      <c r="P121" s="75">
        <f t="shared" si="55"/>
        <v>0</v>
      </c>
      <c r="Q121" s="74">
        <f t="shared" si="56"/>
        <v>0</v>
      </c>
      <c r="R121" s="74">
        <f t="shared" si="57"/>
        <v>0</v>
      </c>
      <c r="S121" s="76">
        <f t="shared" si="58"/>
        <v>0</v>
      </c>
    </row>
    <row r="122" spans="1:19" s="39" customFormat="1" ht="12.75" hidden="1">
      <c r="A122" s="69">
        <v>5</v>
      </c>
      <c r="B122" s="70"/>
      <c r="C122" s="71" t="s">
        <v>52</v>
      </c>
      <c r="D122" s="72" t="e">
        <f t="shared" si="50"/>
        <v>#REF!</v>
      </c>
      <c r="E122" s="71"/>
      <c r="F122" s="71">
        <f t="shared" si="51"/>
        <v>0</v>
      </c>
      <c r="G122" s="71">
        <v>7570</v>
      </c>
      <c r="H122" s="73">
        <f t="shared" si="59"/>
        <v>0</v>
      </c>
      <c r="I122" s="73"/>
      <c r="J122" s="71"/>
      <c r="K122" s="74">
        <f t="shared" si="52"/>
        <v>0</v>
      </c>
      <c r="L122" s="71">
        <f t="shared" si="53"/>
        <v>1800</v>
      </c>
      <c r="M122" s="71">
        <f t="shared" si="54"/>
        <v>0</v>
      </c>
      <c r="N122" s="71"/>
      <c r="O122" s="71"/>
      <c r="P122" s="75">
        <f t="shared" si="55"/>
        <v>0</v>
      </c>
      <c r="Q122" s="74">
        <f t="shared" si="56"/>
        <v>0</v>
      </c>
      <c r="R122" s="74">
        <f t="shared" si="57"/>
        <v>0</v>
      </c>
      <c r="S122" s="76">
        <f t="shared" si="58"/>
        <v>0</v>
      </c>
    </row>
    <row r="123" spans="1:19" s="39" customFormat="1" ht="12.75" hidden="1">
      <c r="A123" s="69">
        <v>6</v>
      </c>
      <c r="B123" s="70"/>
      <c r="C123" s="71" t="s">
        <v>52</v>
      </c>
      <c r="D123" s="72" t="e">
        <f t="shared" si="50"/>
        <v>#REF!</v>
      </c>
      <c r="E123" s="71"/>
      <c r="F123" s="71">
        <f t="shared" si="51"/>
        <v>0</v>
      </c>
      <c r="G123" s="71">
        <v>7570</v>
      </c>
      <c r="H123" s="73">
        <f t="shared" si="59"/>
        <v>0</v>
      </c>
      <c r="I123" s="73"/>
      <c r="J123" s="71"/>
      <c r="K123" s="74">
        <f t="shared" si="52"/>
        <v>0</v>
      </c>
      <c r="L123" s="71">
        <f t="shared" si="53"/>
        <v>1800</v>
      </c>
      <c r="M123" s="71">
        <f t="shared" si="54"/>
        <v>0</v>
      </c>
      <c r="N123" s="71"/>
      <c r="O123" s="71"/>
      <c r="P123" s="75">
        <f t="shared" si="55"/>
        <v>0</v>
      </c>
      <c r="Q123" s="74">
        <f t="shared" si="56"/>
        <v>0</v>
      </c>
      <c r="R123" s="74">
        <f t="shared" si="57"/>
        <v>0</v>
      </c>
      <c r="S123" s="76">
        <f t="shared" si="58"/>
        <v>0</v>
      </c>
    </row>
    <row r="124" spans="1:19" s="39" customFormat="1" ht="12.75" hidden="1">
      <c r="A124" s="69">
        <v>7</v>
      </c>
      <c r="B124" s="70"/>
      <c r="C124" s="71" t="s">
        <v>52</v>
      </c>
      <c r="D124" s="72" t="e">
        <f t="shared" si="50"/>
        <v>#REF!</v>
      </c>
      <c r="E124" s="71"/>
      <c r="F124" s="71">
        <f t="shared" si="51"/>
        <v>0</v>
      </c>
      <c r="G124" s="71">
        <v>7570</v>
      </c>
      <c r="H124" s="73">
        <f t="shared" si="59"/>
        <v>0</v>
      </c>
      <c r="I124" s="73"/>
      <c r="J124" s="71"/>
      <c r="K124" s="74">
        <f t="shared" si="52"/>
        <v>0</v>
      </c>
      <c r="L124" s="71">
        <f t="shared" si="53"/>
        <v>1800</v>
      </c>
      <c r="M124" s="71">
        <f t="shared" si="54"/>
        <v>0</v>
      </c>
      <c r="N124" s="71"/>
      <c r="O124" s="71"/>
      <c r="P124" s="75">
        <f t="shared" si="55"/>
        <v>0</v>
      </c>
      <c r="Q124" s="74">
        <f t="shared" si="56"/>
        <v>0</v>
      </c>
      <c r="R124" s="74">
        <f t="shared" si="57"/>
        <v>0</v>
      </c>
      <c r="S124" s="76">
        <f t="shared" si="58"/>
        <v>0</v>
      </c>
    </row>
    <row r="125" spans="1:19" s="39" customFormat="1" ht="12.75" hidden="1">
      <c r="A125" s="69">
        <v>8</v>
      </c>
      <c r="B125" s="70"/>
      <c r="C125" s="71" t="s">
        <v>52</v>
      </c>
      <c r="D125" s="72" t="e">
        <f t="shared" si="50"/>
        <v>#REF!</v>
      </c>
      <c r="E125" s="71"/>
      <c r="F125" s="71">
        <f t="shared" si="51"/>
        <v>0</v>
      </c>
      <c r="G125" s="71">
        <v>7570</v>
      </c>
      <c r="H125" s="73">
        <f t="shared" si="59"/>
        <v>0</v>
      </c>
      <c r="I125" s="73"/>
      <c r="J125" s="71"/>
      <c r="K125" s="74">
        <f t="shared" si="52"/>
        <v>0</v>
      </c>
      <c r="L125" s="71">
        <f t="shared" si="53"/>
        <v>1800</v>
      </c>
      <c r="M125" s="71">
        <f t="shared" si="54"/>
        <v>0</v>
      </c>
      <c r="N125" s="71"/>
      <c r="O125" s="71"/>
      <c r="P125" s="75">
        <f t="shared" si="55"/>
        <v>0</v>
      </c>
      <c r="Q125" s="74">
        <f t="shared" si="56"/>
        <v>0</v>
      </c>
      <c r="R125" s="74">
        <f t="shared" si="57"/>
        <v>0</v>
      </c>
      <c r="S125" s="76">
        <f t="shared" si="58"/>
        <v>0</v>
      </c>
    </row>
    <row r="126" spans="1:19" s="39" customFormat="1" ht="12.75" hidden="1">
      <c r="A126" s="69">
        <v>9</v>
      </c>
      <c r="B126" s="70"/>
      <c r="C126" s="71" t="s">
        <v>52</v>
      </c>
      <c r="D126" s="72" t="e">
        <f t="shared" si="50"/>
        <v>#REF!</v>
      </c>
      <c r="E126" s="71"/>
      <c r="F126" s="71">
        <f t="shared" si="51"/>
        <v>0</v>
      </c>
      <c r="G126" s="71">
        <v>7570</v>
      </c>
      <c r="H126" s="73">
        <f t="shared" si="59"/>
        <v>0</v>
      </c>
      <c r="I126" s="73"/>
      <c r="J126" s="71"/>
      <c r="K126" s="74">
        <f t="shared" si="52"/>
        <v>0</v>
      </c>
      <c r="L126" s="71">
        <f t="shared" si="53"/>
        <v>1800</v>
      </c>
      <c r="M126" s="71">
        <f t="shared" si="54"/>
        <v>0</v>
      </c>
      <c r="N126" s="71"/>
      <c r="O126" s="71"/>
      <c r="P126" s="75">
        <f t="shared" si="55"/>
        <v>0</v>
      </c>
      <c r="Q126" s="74">
        <f t="shared" si="56"/>
        <v>0</v>
      </c>
      <c r="R126" s="74">
        <f t="shared" si="57"/>
        <v>0</v>
      </c>
      <c r="S126" s="76">
        <f t="shared" si="58"/>
        <v>0</v>
      </c>
    </row>
    <row r="127" spans="1:19" s="39" customFormat="1" ht="13.5" hidden="1" thickBot="1">
      <c r="A127" s="77">
        <v>10</v>
      </c>
      <c r="B127" s="78"/>
      <c r="C127" s="79" t="s">
        <v>52</v>
      </c>
      <c r="D127" s="80" t="e">
        <f t="shared" si="50"/>
        <v>#REF!</v>
      </c>
      <c r="E127" s="79"/>
      <c r="F127" s="79">
        <f t="shared" si="51"/>
        <v>0</v>
      </c>
      <c r="G127" s="79">
        <v>7570</v>
      </c>
      <c r="H127" s="81">
        <f t="shared" si="59"/>
        <v>0</v>
      </c>
      <c r="I127" s="81"/>
      <c r="J127" s="79"/>
      <c r="K127" s="82">
        <f t="shared" si="52"/>
        <v>0</v>
      </c>
      <c r="L127" s="79">
        <f t="shared" si="53"/>
        <v>1800</v>
      </c>
      <c r="M127" s="79">
        <f t="shared" si="54"/>
        <v>0</v>
      </c>
      <c r="N127" s="79"/>
      <c r="O127" s="79"/>
      <c r="P127" s="83">
        <f t="shared" si="55"/>
        <v>0</v>
      </c>
      <c r="Q127" s="82">
        <f t="shared" si="56"/>
        <v>0</v>
      </c>
      <c r="R127" s="82">
        <f t="shared" si="57"/>
        <v>0</v>
      </c>
      <c r="S127" s="84">
        <f t="shared" si="58"/>
        <v>0</v>
      </c>
    </row>
    <row r="128" spans="1:19" s="39" customFormat="1" ht="13.5" hidden="1" thickBot="1">
      <c r="A128" s="85"/>
      <c r="B128" s="86"/>
      <c r="C128" s="86"/>
      <c r="D128" s="86" t="s">
        <v>53</v>
      </c>
      <c r="E128" s="86"/>
      <c r="F128" s="87">
        <f>SUM(F118:F127)</f>
        <v>8570</v>
      </c>
      <c r="G128" s="86"/>
      <c r="H128" s="86"/>
      <c r="I128" s="86"/>
      <c r="J128" s="86"/>
      <c r="K128" s="88"/>
      <c r="L128" s="86"/>
      <c r="M128" s="89">
        <f>SUM(M118:M127)</f>
        <v>0</v>
      </c>
      <c r="N128" s="89">
        <f>SUM(N118:N127)</f>
        <v>0</v>
      </c>
      <c r="O128" s="89">
        <f>SUM(O118:O127)</f>
        <v>0</v>
      </c>
      <c r="P128" s="86"/>
      <c r="Q128" s="87">
        <f>SUM(Q118:Q127)</f>
        <v>0</v>
      </c>
      <c r="R128" s="87">
        <f>SUM(R118:R127)</f>
        <v>0</v>
      </c>
      <c r="S128" s="90">
        <f>SUM(S118:S127)</f>
        <v>0</v>
      </c>
    </row>
    <row r="129" spans="1:19" s="39" customFormat="1" ht="13.5" hidden="1" thickBot="1">
      <c r="A129" s="118"/>
      <c r="B129" s="92"/>
      <c r="C129" s="92"/>
      <c r="D129" s="92"/>
      <c r="E129" s="92"/>
      <c r="F129" s="93"/>
      <c r="G129" s="92"/>
      <c r="H129" s="92"/>
      <c r="I129" s="92"/>
      <c r="J129" s="92"/>
      <c r="K129" s="94"/>
      <c r="L129" s="92"/>
      <c r="M129" s="95"/>
      <c r="N129" s="95" t="e">
        <f>доходы!#REF!</f>
        <v>#REF!</v>
      </c>
      <c r="O129" s="96" t="s">
        <v>116</v>
      </c>
      <c r="P129" s="92"/>
      <c r="Q129" s="97"/>
      <c r="R129" s="98"/>
      <c r="S129" s="122"/>
    </row>
    <row r="130" spans="1:19" s="39" customFormat="1" ht="12.75" hidden="1">
      <c r="A130" s="53" t="s">
        <v>121</v>
      </c>
      <c r="B130" s="41" t="e">
        <f>доходы!#REF!</f>
        <v>#REF!</v>
      </c>
      <c r="F130" s="40"/>
      <c r="G130" s="40"/>
      <c r="H130" s="40"/>
      <c r="I130" s="40"/>
      <c r="J130" s="40"/>
      <c r="K130" s="50"/>
      <c r="L130" s="40"/>
      <c r="M130" s="40"/>
      <c r="N130" s="40"/>
      <c r="O130" s="40"/>
      <c r="P130" s="40"/>
      <c r="Q130" s="40"/>
      <c r="R130" s="40"/>
      <c r="S130" s="40"/>
    </row>
    <row r="131" spans="1:19" s="39" customFormat="1" ht="13.5" hidden="1" thickBo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50"/>
      <c r="L131" s="40"/>
      <c r="M131" s="40"/>
      <c r="N131" s="40"/>
      <c r="O131" s="40"/>
      <c r="P131" s="40"/>
      <c r="Q131" s="40"/>
      <c r="R131" s="40"/>
      <c r="S131" s="40"/>
    </row>
    <row r="132" spans="1:19" s="39" customFormat="1" ht="51.75" hidden="1" thickBot="1">
      <c r="A132" s="99" t="s">
        <v>1</v>
      </c>
      <c r="B132" s="99" t="s">
        <v>2</v>
      </c>
      <c r="C132" s="99" t="s">
        <v>8</v>
      </c>
      <c r="D132" s="99" t="s">
        <v>3</v>
      </c>
      <c r="E132" s="99" t="s">
        <v>4</v>
      </c>
      <c r="F132" s="99" t="s">
        <v>5</v>
      </c>
      <c r="G132" s="99" t="s">
        <v>64</v>
      </c>
      <c r="H132" s="99" t="s">
        <v>117</v>
      </c>
      <c r="I132" s="99" t="s">
        <v>99</v>
      </c>
      <c r="J132" s="99" t="s">
        <v>65</v>
      </c>
      <c r="K132" s="100" t="s">
        <v>66</v>
      </c>
      <c r="L132" s="99" t="s">
        <v>67</v>
      </c>
      <c r="M132" s="99" t="s">
        <v>6</v>
      </c>
      <c r="N132" s="99" t="s">
        <v>54</v>
      </c>
      <c r="O132" s="99" t="s">
        <v>7</v>
      </c>
      <c r="P132" s="99" t="s">
        <v>48</v>
      </c>
      <c r="Q132" s="99" t="s">
        <v>49</v>
      </c>
      <c r="R132" s="99" t="s">
        <v>50</v>
      </c>
      <c r="S132" s="99" t="s">
        <v>51</v>
      </c>
    </row>
    <row r="133" spans="1:19" s="39" customFormat="1" ht="12.75" hidden="1">
      <c r="A133" s="101">
        <v>1</v>
      </c>
      <c r="B133" s="102">
        <v>2</v>
      </c>
      <c r="C133" s="103">
        <v>3</v>
      </c>
      <c r="D133" s="102">
        <v>4</v>
      </c>
      <c r="E133" s="102">
        <v>5</v>
      </c>
      <c r="F133" s="102">
        <v>6</v>
      </c>
      <c r="G133" s="103">
        <v>7</v>
      </c>
      <c r="H133" s="102">
        <v>8</v>
      </c>
      <c r="I133" s="102">
        <v>9</v>
      </c>
      <c r="J133" s="102">
        <v>10</v>
      </c>
      <c r="K133" s="104">
        <v>11</v>
      </c>
      <c r="L133" s="102">
        <v>12</v>
      </c>
      <c r="M133" s="102">
        <v>13</v>
      </c>
      <c r="N133" s="102">
        <v>14</v>
      </c>
      <c r="O133" s="103">
        <v>15</v>
      </c>
      <c r="P133" s="102">
        <v>16</v>
      </c>
      <c r="Q133" s="102">
        <v>17</v>
      </c>
      <c r="R133" s="102">
        <v>18</v>
      </c>
      <c r="S133" s="105">
        <v>19</v>
      </c>
    </row>
    <row r="134" spans="1:19" s="112" customFormat="1" ht="38.25" hidden="1">
      <c r="A134" s="106">
        <v>1</v>
      </c>
      <c r="B134" s="107"/>
      <c r="C134" s="62" t="s">
        <v>180</v>
      </c>
      <c r="D134" s="108" t="e">
        <f>B$130</f>
        <v>#REF!</v>
      </c>
      <c r="E134" s="106"/>
      <c r="F134" s="106">
        <f>ROUND(O134/18/4,2)</f>
        <v>0</v>
      </c>
      <c r="G134" s="63">
        <f>D12</f>
        <v>8999</v>
      </c>
      <c r="H134" s="109">
        <v>0</v>
      </c>
      <c r="I134" s="109">
        <v>0</v>
      </c>
      <c r="J134" s="106">
        <v>12.745</v>
      </c>
      <c r="K134" s="110">
        <f>(G134+G134*(H134+I134))*J134</f>
        <v>114692.26</v>
      </c>
      <c r="L134" s="106">
        <f aca="true" t="shared" si="60" ref="L134:L143">18*25*4</f>
        <v>1800</v>
      </c>
      <c r="M134" s="106">
        <f>N134*O134</f>
        <v>0</v>
      </c>
      <c r="N134" s="106">
        <v>0</v>
      </c>
      <c r="O134" s="63">
        <v>0</v>
      </c>
      <c r="P134" s="111">
        <v>0</v>
      </c>
      <c r="Q134" s="110">
        <f>N134*O134*P134</f>
        <v>0</v>
      </c>
      <c r="R134" s="110">
        <f>Q134*0.15</f>
        <v>0</v>
      </c>
      <c r="S134" s="110">
        <f>Q134+R134</f>
        <v>0</v>
      </c>
    </row>
    <row r="135" spans="1:19" s="39" customFormat="1" ht="12.75" hidden="1">
      <c r="A135" s="71">
        <v>2</v>
      </c>
      <c r="B135" s="70"/>
      <c r="C135" s="71" t="s">
        <v>52</v>
      </c>
      <c r="D135" s="72" t="e">
        <f aca="true" t="shared" si="61" ref="D135:D143">B$130</f>
        <v>#REF!</v>
      </c>
      <c r="E135" s="71"/>
      <c r="F135" s="71">
        <f aca="true" t="shared" si="62" ref="F135:F143">ROUND(O135/18/4,2)</f>
        <v>0</v>
      </c>
      <c r="G135" s="71">
        <v>7570</v>
      </c>
      <c r="H135" s="73">
        <f>H$24</f>
        <v>0</v>
      </c>
      <c r="I135" s="73">
        <v>0</v>
      </c>
      <c r="J135" s="71"/>
      <c r="K135" s="74">
        <f aca="true" t="shared" si="63" ref="K135:K143">(G135+G135*(H135+I135))*J135</f>
        <v>0</v>
      </c>
      <c r="L135" s="71">
        <f t="shared" si="60"/>
        <v>1800</v>
      </c>
      <c r="M135" s="71">
        <f aca="true" t="shared" si="64" ref="M135:M143">N135*O135</f>
        <v>0</v>
      </c>
      <c r="N135" s="71"/>
      <c r="O135" s="71"/>
      <c r="P135" s="75">
        <f aca="true" t="shared" si="65" ref="P135:P143">ROUND(K135/L135,2)</f>
        <v>0</v>
      </c>
      <c r="Q135" s="74">
        <f aca="true" t="shared" si="66" ref="Q135:Q143">N135*O135*P135</f>
        <v>0</v>
      </c>
      <c r="R135" s="74">
        <f aca="true" t="shared" si="67" ref="R135:R143">Q135*0.15</f>
        <v>0</v>
      </c>
      <c r="S135" s="74">
        <f aca="true" t="shared" si="68" ref="S135:S143">Q135+R135</f>
        <v>0</v>
      </c>
    </row>
    <row r="136" spans="1:19" s="39" customFormat="1" ht="12.75" hidden="1">
      <c r="A136" s="71">
        <v>3</v>
      </c>
      <c r="B136" s="70"/>
      <c r="C136" s="71" t="s">
        <v>52</v>
      </c>
      <c r="D136" s="72" t="e">
        <f t="shared" si="61"/>
        <v>#REF!</v>
      </c>
      <c r="E136" s="71"/>
      <c r="F136" s="71">
        <f t="shared" si="62"/>
        <v>0</v>
      </c>
      <c r="G136" s="71">
        <v>7570</v>
      </c>
      <c r="H136" s="73">
        <f aca="true" t="shared" si="69" ref="H136:H143">H$24</f>
        <v>0</v>
      </c>
      <c r="I136" s="73"/>
      <c r="J136" s="71"/>
      <c r="K136" s="74">
        <f t="shared" si="63"/>
        <v>0</v>
      </c>
      <c r="L136" s="71">
        <f t="shared" si="60"/>
        <v>1800</v>
      </c>
      <c r="M136" s="71">
        <f t="shared" si="64"/>
        <v>0</v>
      </c>
      <c r="N136" s="71"/>
      <c r="O136" s="71"/>
      <c r="P136" s="75">
        <f t="shared" si="65"/>
        <v>0</v>
      </c>
      <c r="Q136" s="74">
        <f t="shared" si="66"/>
        <v>0</v>
      </c>
      <c r="R136" s="74">
        <f t="shared" si="67"/>
        <v>0</v>
      </c>
      <c r="S136" s="74">
        <f t="shared" si="68"/>
        <v>0</v>
      </c>
    </row>
    <row r="137" spans="1:19" s="39" customFormat="1" ht="12.75" hidden="1">
      <c r="A137" s="71">
        <v>4</v>
      </c>
      <c r="B137" s="70"/>
      <c r="C137" s="71" t="s">
        <v>52</v>
      </c>
      <c r="D137" s="72" t="e">
        <f t="shared" si="61"/>
        <v>#REF!</v>
      </c>
      <c r="E137" s="71"/>
      <c r="F137" s="71">
        <f t="shared" si="62"/>
        <v>0</v>
      </c>
      <c r="G137" s="71">
        <v>7570</v>
      </c>
      <c r="H137" s="73">
        <f t="shared" si="69"/>
        <v>0</v>
      </c>
      <c r="I137" s="73"/>
      <c r="J137" s="71"/>
      <c r="K137" s="74">
        <f t="shared" si="63"/>
        <v>0</v>
      </c>
      <c r="L137" s="71">
        <f t="shared" si="60"/>
        <v>1800</v>
      </c>
      <c r="M137" s="71">
        <f t="shared" si="64"/>
        <v>0</v>
      </c>
      <c r="N137" s="71"/>
      <c r="O137" s="71"/>
      <c r="P137" s="75">
        <f t="shared" si="65"/>
        <v>0</v>
      </c>
      <c r="Q137" s="74">
        <f t="shared" si="66"/>
        <v>0</v>
      </c>
      <c r="R137" s="74">
        <f t="shared" si="67"/>
        <v>0</v>
      </c>
      <c r="S137" s="74">
        <f t="shared" si="68"/>
        <v>0</v>
      </c>
    </row>
    <row r="138" spans="1:19" s="39" customFormat="1" ht="12.75" hidden="1">
      <c r="A138" s="71">
        <v>5</v>
      </c>
      <c r="B138" s="70"/>
      <c r="C138" s="71" t="s">
        <v>52</v>
      </c>
      <c r="D138" s="72" t="e">
        <f t="shared" si="61"/>
        <v>#REF!</v>
      </c>
      <c r="E138" s="71"/>
      <c r="F138" s="71">
        <f t="shared" si="62"/>
        <v>0</v>
      </c>
      <c r="G138" s="71">
        <v>7570</v>
      </c>
      <c r="H138" s="73">
        <f t="shared" si="69"/>
        <v>0</v>
      </c>
      <c r="I138" s="73"/>
      <c r="J138" s="71"/>
      <c r="K138" s="74">
        <f t="shared" si="63"/>
        <v>0</v>
      </c>
      <c r="L138" s="71">
        <f t="shared" si="60"/>
        <v>1800</v>
      </c>
      <c r="M138" s="71">
        <f t="shared" si="64"/>
        <v>0</v>
      </c>
      <c r="N138" s="71"/>
      <c r="O138" s="71"/>
      <c r="P138" s="75">
        <f t="shared" si="65"/>
        <v>0</v>
      </c>
      <c r="Q138" s="74">
        <f t="shared" si="66"/>
        <v>0</v>
      </c>
      <c r="R138" s="74">
        <f t="shared" si="67"/>
        <v>0</v>
      </c>
      <c r="S138" s="74">
        <f t="shared" si="68"/>
        <v>0</v>
      </c>
    </row>
    <row r="139" spans="1:19" s="39" customFormat="1" ht="12.75" hidden="1">
      <c r="A139" s="71">
        <v>6</v>
      </c>
      <c r="B139" s="70"/>
      <c r="C139" s="71" t="s">
        <v>52</v>
      </c>
      <c r="D139" s="72" t="e">
        <f t="shared" si="61"/>
        <v>#REF!</v>
      </c>
      <c r="E139" s="71"/>
      <c r="F139" s="71">
        <f t="shared" si="62"/>
        <v>0</v>
      </c>
      <c r="G139" s="71">
        <v>7570</v>
      </c>
      <c r="H139" s="73">
        <f t="shared" si="69"/>
        <v>0</v>
      </c>
      <c r="I139" s="73"/>
      <c r="J139" s="71"/>
      <c r="K139" s="74">
        <f t="shared" si="63"/>
        <v>0</v>
      </c>
      <c r="L139" s="71">
        <f t="shared" si="60"/>
        <v>1800</v>
      </c>
      <c r="M139" s="71">
        <f t="shared" si="64"/>
        <v>0</v>
      </c>
      <c r="N139" s="71"/>
      <c r="O139" s="71"/>
      <c r="P139" s="75">
        <f t="shared" si="65"/>
        <v>0</v>
      </c>
      <c r="Q139" s="74">
        <f t="shared" si="66"/>
        <v>0</v>
      </c>
      <c r="R139" s="74">
        <f t="shared" si="67"/>
        <v>0</v>
      </c>
      <c r="S139" s="74">
        <f t="shared" si="68"/>
        <v>0</v>
      </c>
    </row>
    <row r="140" spans="1:19" s="39" customFormat="1" ht="12.75" hidden="1">
      <c r="A140" s="71">
        <v>7</v>
      </c>
      <c r="B140" s="70"/>
      <c r="C140" s="71" t="s">
        <v>52</v>
      </c>
      <c r="D140" s="72" t="e">
        <f t="shared" si="61"/>
        <v>#REF!</v>
      </c>
      <c r="E140" s="71"/>
      <c r="F140" s="71">
        <f t="shared" si="62"/>
        <v>0</v>
      </c>
      <c r="G140" s="71">
        <v>7570</v>
      </c>
      <c r="H140" s="73">
        <f t="shared" si="69"/>
        <v>0</v>
      </c>
      <c r="I140" s="73"/>
      <c r="J140" s="71"/>
      <c r="K140" s="74">
        <f t="shared" si="63"/>
        <v>0</v>
      </c>
      <c r="L140" s="71">
        <f t="shared" si="60"/>
        <v>1800</v>
      </c>
      <c r="M140" s="71">
        <f t="shared" si="64"/>
        <v>0</v>
      </c>
      <c r="N140" s="71"/>
      <c r="O140" s="71"/>
      <c r="P140" s="75">
        <f t="shared" si="65"/>
        <v>0</v>
      </c>
      <c r="Q140" s="74">
        <f t="shared" si="66"/>
        <v>0</v>
      </c>
      <c r="R140" s="74">
        <f t="shared" si="67"/>
        <v>0</v>
      </c>
      <c r="S140" s="74">
        <f t="shared" si="68"/>
        <v>0</v>
      </c>
    </row>
    <row r="141" spans="1:19" s="39" customFormat="1" ht="12.75" hidden="1">
      <c r="A141" s="71">
        <v>8</v>
      </c>
      <c r="B141" s="70"/>
      <c r="C141" s="71" t="s">
        <v>52</v>
      </c>
      <c r="D141" s="72" t="e">
        <f t="shared" si="61"/>
        <v>#REF!</v>
      </c>
      <c r="E141" s="71"/>
      <c r="F141" s="71">
        <f t="shared" si="62"/>
        <v>0</v>
      </c>
      <c r="G141" s="71">
        <v>7570</v>
      </c>
      <c r="H141" s="73">
        <f t="shared" si="69"/>
        <v>0</v>
      </c>
      <c r="I141" s="73"/>
      <c r="J141" s="71"/>
      <c r="K141" s="74">
        <f t="shared" si="63"/>
        <v>0</v>
      </c>
      <c r="L141" s="71">
        <f t="shared" si="60"/>
        <v>1800</v>
      </c>
      <c r="M141" s="71">
        <f t="shared" si="64"/>
        <v>0</v>
      </c>
      <c r="N141" s="71"/>
      <c r="O141" s="71"/>
      <c r="P141" s="75">
        <f t="shared" si="65"/>
        <v>0</v>
      </c>
      <c r="Q141" s="74">
        <f t="shared" si="66"/>
        <v>0</v>
      </c>
      <c r="R141" s="74">
        <f t="shared" si="67"/>
        <v>0</v>
      </c>
      <c r="S141" s="74">
        <f t="shared" si="68"/>
        <v>0</v>
      </c>
    </row>
    <row r="142" spans="1:19" s="39" customFormat="1" ht="12.75" hidden="1">
      <c r="A142" s="71">
        <v>9</v>
      </c>
      <c r="B142" s="70"/>
      <c r="C142" s="71" t="s">
        <v>52</v>
      </c>
      <c r="D142" s="72" t="e">
        <f t="shared" si="61"/>
        <v>#REF!</v>
      </c>
      <c r="E142" s="71"/>
      <c r="F142" s="71">
        <f t="shared" si="62"/>
        <v>0</v>
      </c>
      <c r="G142" s="71">
        <v>7570</v>
      </c>
      <c r="H142" s="73">
        <f t="shared" si="69"/>
        <v>0</v>
      </c>
      <c r="I142" s="73"/>
      <c r="J142" s="71"/>
      <c r="K142" s="74">
        <f t="shared" si="63"/>
        <v>0</v>
      </c>
      <c r="L142" s="71">
        <f t="shared" si="60"/>
        <v>1800</v>
      </c>
      <c r="M142" s="71">
        <f t="shared" si="64"/>
        <v>0</v>
      </c>
      <c r="N142" s="71"/>
      <c r="O142" s="71"/>
      <c r="P142" s="75">
        <f t="shared" si="65"/>
        <v>0</v>
      </c>
      <c r="Q142" s="74">
        <f t="shared" si="66"/>
        <v>0</v>
      </c>
      <c r="R142" s="74">
        <f t="shared" si="67"/>
        <v>0</v>
      </c>
      <c r="S142" s="74">
        <f t="shared" si="68"/>
        <v>0</v>
      </c>
    </row>
    <row r="143" spans="1:19" s="39" customFormat="1" ht="12.75" hidden="1">
      <c r="A143" s="71">
        <v>10</v>
      </c>
      <c r="B143" s="70"/>
      <c r="C143" s="71" t="s">
        <v>52</v>
      </c>
      <c r="D143" s="72" t="e">
        <f t="shared" si="61"/>
        <v>#REF!</v>
      </c>
      <c r="E143" s="71"/>
      <c r="F143" s="71">
        <f t="shared" si="62"/>
        <v>0</v>
      </c>
      <c r="G143" s="71">
        <v>7570</v>
      </c>
      <c r="H143" s="73">
        <f t="shared" si="69"/>
        <v>0</v>
      </c>
      <c r="I143" s="73"/>
      <c r="J143" s="71"/>
      <c r="K143" s="74">
        <f t="shared" si="63"/>
        <v>0</v>
      </c>
      <c r="L143" s="71">
        <f t="shared" si="60"/>
        <v>1800</v>
      </c>
      <c r="M143" s="71">
        <f t="shared" si="64"/>
        <v>0</v>
      </c>
      <c r="N143" s="71"/>
      <c r="O143" s="71"/>
      <c r="P143" s="75">
        <f t="shared" si="65"/>
        <v>0</v>
      </c>
      <c r="Q143" s="74">
        <f t="shared" si="66"/>
        <v>0</v>
      </c>
      <c r="R143" s="74">
        <f t="shared" si="67"/>
        <v>0</v>
      </c>
      <c r="S143" s="74">
        <f t="shared" si="68"/>
        <v>0</v>
      </c>
    </row>
    <row r="144" spans="1:19" s="39" customFormat="1" ht="13.5" hidden="1" thickBot="1">
      <c r="A144" s="113"/>
      <c r="B144" s="114"/>
      <c r="C144" s="114"/>
      <c r="D144" s="114" t="s">
        <v>53</v>
      </c>
      <c r="E144" s="114"/>
      <c r="F144" s="115">
        <f>SUM(F134:F143)</f>
        <v>0</v>
      </c>
      <c r="G144" s="114"/>
      <c r="H144" s="114"/>
      <c r="I144" s="114"/>
      <c r="J144" s="114"/>
      <c r="K144" s="116"/>
      <c r="L144" s="114"/>
      <c r="M144" s="117">
        <f>SUM(M134:M143)</f>
        <v>0</v>
      </c>
      <c r="N144" s="117">
        <f>SUM(N134:N143)</f>
        <v>0</v>
      </c>
      <c r="O144" s="117">
        <f>SUM(O134:O143)</f>
        <v>0</v>
      </c>
      <c r="P144" s="114"/>
      <c r="Q144" s="115">
        <f>SUM(Q134:Q143)</f>
        <v>0</v>
      </c>
      <c r="R144" s="115">
        <f>SUM(R134:R143)</f>
        <v>0</v>
      </c>
      <c r="S144" s="115">
        <f>SUM(S134:S143)</f>
        <v>0</v>
      </c>
    </row>
    <row r="145" spans="1:19" s="39" customFormat="1" ht="12.75" hidden="1">
      <c r="A145" s="118"/>
      <c r="B145" s="92"/>
      <c r="C145" s="92"/>
      <c r="D145" s="92"/>
      <c r="E145" s="92"/>
      <c r="F145" s="93"/>
      <c r="G145" s="92"/>
      <c r="H145" s="92"/>
      <c r="I145" s="92"/>
      <c r="J145" s="92"/>
      <c r="K145" s="94"/>
      <c r="L145" s="92"/>
      <c r="M145" s="95"/>
      <c r="N145" s="95" t="e">
        <f>доходы!#REF!</f>
        <v>#REF!</v>
      </c>
      <c r="O145" s="96" t="s">
        <v>116</v>
      </c>
      <c r="P145" s="119"/>
      <c r="Q145" s="120"/>
      <c r="R145" s="121"/>
      <c r="S145" s="121"/>
    </row>
    <row r="146" spans="1:19" s="39" customFormat="1" ht="12.75" hidden="1">
      <c r="A146" s="53" t="s">
        <v>122</v>
      </c>
      <c r="B146" s="41" t="str">
        <f>доходы!B19</f>
        <v>Танцевальная студия - 2</v>
      </c>
      <c r="F146" s="40"/>
      <c r="G146" s="40"/>
      <c r="H146" s="40"/>
      <c r="I146" s="40"/>
      <c r="J146" s="40"/>
      <c r="K146" s="50"/>
      <c r="L146" s="40"/>
      <c r="M146" s="40"/>
      <c r="N146" s="40"/>
      <c r="O146" s="40"/>
      <c r="P146" s="40"/>
      <c r="Q146" s="40"/>
      <c r="R146" s="40"/>
      <c r="S146" s="40"/>
    </row>
    <row r="147" spans="1:19" s="39" customFormat="1" ht="13.5" hidden="1" thickBo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50"/>
      <c r="L147" s="40"/>
      <c r="M147" s="40"/>
      <c r="N147" s="40"/>
      <c r="O147" s="40"/>
      <c r="P147" s="40"/>
      <c r="Q147" s="40"/>
      <c r="R147" s="40"/>
      <c r="S147" s="40"/>
    </row>
    <row r="148" spans="1:19" s="39" customFormat="1" ht="51.75" hidden="1" thickBot="1">
      <c r="A148" s="54" t="s">
        <v>1</v>
      </c>
      <c r="B148" s="54" t="s">
        <v>2</v>
      </c>
      <c r="C148" s="54" t="s">
        <v>8</v>
      </c>
      <c r="D148" s="54" t="s">
        <v>3</v>
      </c>
      <c r="E148" s="54" t="s">
        <v>4</v>
      </c>
      <c r="F148" s="54" t="s">
        <v>5</v>
      </c>
      <c r="G148" s="54" t="s">
        <v>64</v>
      </c>
      <c r="H148" s="54" t="s">
        <v>117</v>
      </c>
      <c r="I148" s="54" t="s">
        <v>99</v>
      </c>
      <c r="J148" s="54" t="s">
        <v>65</v>
      </c>
      <c r="K148" s="55" t="s">
        <v>66</v>
      </c>
      <c r="L148" s="54" t="s">
        <v>67</v>
      </c>
      <c r="M148" s="54" t="s">
        <v>6</v>
      </c>
      <c r="N148" s="54" t="s">
        <v>54</v>
      </c>
      <c r="O148" s="54" t="s">
        <v>7</v>
      </c>
      <c r="P148" s="54" t="s">
        <v>48</v>
      </c>
      <c r="Q148" s="54" t="s">
        <v>49</v>
      </c>
      <c r="R148" s="54" t="s">
        <v>50</v>
      </c>
      <c r="S148" s="54" t="s">
        <v>51</v>
      </c>
    </row>
    <row r="149" spans="1:19" s="39" customFormat="1" ht="13.5" hidden="1" thickBot="1">
      <c r="A149" s="56">
        <v>1</v>
      </c>
      <c r="B149" s="57">
        <v>2</v>
      </c>
      <c r="C149" s="57">
        <v>3</v>
      </c>
      <c r="D149" s="57">
        <v>4</v>
      </c>
      <c r="E149" s="57">
        <v>5</v>
      </c>
      <c r="F149" s="57">
        <v>6</v>
      </c>
      <c r="G149" s="57">
        <v>7</v>
      </c>
      <c r="H149" s="57">
        <v>8</v>
      </c>
      <c r="I149" s="57">
        <v>9</v>
      </c>
      <c r="J149" s="57">
        <v>10</v>
      </c>
      <c r="K149" s="58">
        <v>11</v>
      </c>
      <c r="L149" s="57">
        <v>12</v>
      </c>
      <c r="M149" s="57">
        <v>13</v>
      </c>
      <c r="N149" s="57">
        <v>14</v>
      </c>
      <c r="O149" s="57">
        <v>15</v>
      </c>
      <c r="P149" s="57">
        <v>16</v>
      </c>
      <c r="Q149" s="57">
        <v>17</v>
      </c>
      <c r="R149" s="57">
        <v>18</v>
      </c>
      <c r="S149" s="59">
        <v>19</v>
      </c>
    </row>
    <row r="150" spans="1:19" s="112" customFormat="1" ht="48" customHeight="1" hidden="1" thickBot="1" thickTop="1">
      <c r="A150" s="123">
        <v>1</v>
      </c>
      <c r="B150" s="124"/>
      <c r="C150" s="62" t="s">
        <v>180</v>
      </c>
      <c r="D150" s="124" t="str">
        <f>B$146</f>
        <v>Танцевальная студия - 2</v>
      </c>
      <c r="E150" s="125"/>
      <c r="F150" s="125">
        <f aca="true" t="shared" si="70" ref="F150:F159">ROUND(O150/18/4,2)</f>
        <v>0</v>
      </c>
      <c r="G150" s="125">
        <v>7570</v>
      </c>
      <c r="H150" s="126">
        <v>0</v>
      </c>
      <c r="I150" s="126">
        <v>0</v>
      </c>
      <c r="J150" s="125">
        <v>7.09</v>
      </c>
      <c r="K150" s="127">
        <f>(G150+G150*(H150+I150))*J150</f>
        <v>53671.3</v>
      </c>
      <c r="L150" s="125">
        <f aca="true" t="shared" si="71" ref="L150:L159">18*25*4</f>
        <v>1800</v>
      </c>
      <c r="M150" s="125">
        <f>N150*O150</f>
        <v>0</v>
      </c>
      <c r="N150" s="125"/>
      <c r="O150" s="125"/>
      <c r="P150" s="128">
        <f>ROUND(K150/L150,2)</f>
        <v>29.82</v>
      </c>
      <c r="Q150" s="127">
        <f>N150*O150*P150</f>
        <v>0</v>
      </c>
      <c r="R150" s="127">
        <f>Q150*0.15</f>
        <v>0</v>
      </c>
      <c r="S150" s="129">
        <f>Q150+R150</f>
        <v>0</v>
      </c>
    </row>
    <row r="151" spans="1:19" s="39" customFormat="1" ht="12.75" hidden="1">
      <c r="A151" s="130">
        <v>2</v>
      </c>
      <c r="B151" s="131"/>
      <c r="C151" s="130" t="s">
        <v>52</v>
      </c>
      <c r="D151" s="132" t="str">
        <f aca="true" t="shared" si="72" ref="D151:D159">B$146</f>
        <v>Танцевальная студия - 2</v>
      </c>
      <c r="E151" s="130"/>
      <c r="F151" s="130">
        <f t="shared" si="70"/>
        <v>0</v>
      </c>
      <c r="G151" s="130">
        <v>7570</v>
      </c>
      <c r="H151" s="133">
        <f>H$24</f>
        <v>0</v>
      </c>
      <c r="I151" s="133">
        <v>0</v>
      </c>
      <c r="J151" s="130"/>
      <c r="K151" s="134">
        <f aca="true" t="shared" si="73" ref="K151:K159">(G151+G151*(H151+I151))*J151</f>
        <v>0</v>
      </c>
      <c r="L151" s="130">
        <f t="shared" si="71"/>
        <v>1800</v>
      </c>
      <c r="M151" s="130">
        <f aca="true" t="shared" si="74" ref="M151:M159">N151*O151</f>
        <v>0</v>
      </c>
      <c r="N151" s="130"/>
      <c r="O151" s="130"/>
      <c r="P151" s="135">
        <f aca="true" t="shared" si="75" ref="P151:P159">ROUND(K151/L151,2)</f>
        <v>0</v>
      </c>
      <c r="Q151" s="134">
        <f aca="true" t="shared" si="76" ref="Q151:Q159">N151*O151*P151</f>
        <v>0</v>
      </c>
      <c r="R151" s="134">
        <f aca="true" t="shared" si="77" ref="R151:R159">Q151*0.15</f>
        <v>0</v>
      </c>
      <c r="S151" s="134">
        <f aca="true" t="shared" si="78" ref="S151:S159">Q151+R151</f>
        <v>0</v>
      </c>
    </row>
    <row r="152" spans="1:19" s="39" customFormat="1" ht="12.75" hidden="1">
      <c r="A152" s="71">
        <v>3</v>
      </c>
      <c r="B152" s="70"/>
      <c r="C152" s="71" t="s">
        <v>52</v>
      </c>
      <c r="D152" s="72" t="str">
        <f t="shared" si="72"/>
        <v>Танцевальная студия - 2</v>
      </c>
      <c r="E152" s="71"/>
      <c r="F152" s="71">
        <f t="shared" si="70"/>
        <v>0</v>
      </c>
      <c r="G152" s="71">
        <v>7570</v>
      </c>
      <c r="H152" s="73">
        <f aca="true" t="shared" si="79" ref="H152:H159">H$24</f>
        <v>0</v>
      </c>
      <c r="I152" s="73"/>
      <c r="J152" s="71"/>
      <c r="K152" s="74">
        <f t="shared" si="73"/>
        <v>0</v>
      </c>
      <c r="L152" s="71">
        <f t="shared" si="71"/>
        <v>1800</v>
      </c>
      <c r="M152" s="71">
        <f t="shared" si="74"/>
        <v>0</v>
      </c>
      <c r="N152" s="71"/>
      <c r="O152" s="71"/>
      <c r="P152" s="75">
        <f t="shared" si="75"/>
        <v>0</v>
      </c>
      <c r="Q152" s="74">
        <f t="shared" si="76"/>
        <v>0</v>
      </c>
      <c r="R152" s="74">
        <f t="shared" si="77"/>
        <v>0</v>
      </c>
      <c r="S152" s="74">
        <f t="shared" si="78"/>
        <v>0</v>
      </c>
    </row>
    <row r="153" spans="1:19" s="39" customFormat="1" ht="12.75" hidden="1">
      <c r="A153" s="71">
        <v>4</v>
      </c>
      <c r="B153" s="70"/>
      <c r="C153" s="71" t="s">
        <v>52</v>
      </c>
      <c r="D153" s="72" t="str">
        <f t="shared" si="72"/>
        <v>Танцевальная студия - 2</v>
      </c>
      <c r="E153" s="71"/>
      <c r="F153" s="71">
        <f t="shared" si="70"/>
        <v>0</v>
      </c>
      <c r="G153" s="71">
        <v>7570</v>
      </c>
      <c r="H153" s="73">
        <f t="shared" si="79"/>
        <v>0</v>
      </c>
      <c r="I153" s="73"/>
      <c r="J153" s="71"/>
      <c r="K153" s="74">
        <f t="shared" si="73"/>
        <v>0</v>
      </c>
      <c r="L153" s="71">
        <f t="shared" si="71"/>
        <v>1800</v>
      </c>
      <c r="M153" s="71">
        <f t="shared" si="74"/>
        <v>0</v>
      </c>
      <c r="N153" s="71"/>
      <c r="O153" s="71"/>
      <c r="P153" s="75">
        <f t="shared" si="75"/>
        <v>0</v>
      </c>
      <c r="Q153" s="74">
        <f t="shared" si="76"/>
        <v>0</v>
      </c>
      <c r="R153" s="74">
        <f t="shared" si="77"/>
        <v>0</v>
      </c>
      <c r="S153" s="74">
        <f t="shared" si="78"/>
        <v>0</v>
      </c>
    </row>
    <row r="154" spans="1:19" s="39" customFormat="1" ht="12.75" hidden="1">
      <c r="A154" s="71">
        <v>5</v>
      </c>
      <c r="B154" s="70"/>
      <c r="C154" s="71" t="s">
        <v>52</v>
      </c>
      <c r="D154" s="72" t="str">
        <f t="shared" si="72"/>
        <v>Танцевальная студия - 2</v>
      </c>
      <c r="E154" s="71"/>
      <c r="F154" s="71">
        <f t="shared" si="70"/>
        <v>0</v>
      </c>
      <c r="G154" s="71">
        <v>7570</v>
      </c>
      <c r="H154" s="73">
        <f t="shared" si="79"/>
        <v>0</v>
      </c>
      <c r="I154" s="73"/>
      <c r="J154" s="71"/>
      <c r="K154" s="74">
        <f t="shared" si="73"/>
        <v>0</v>
      </c>
      <c r="L154" s="71">
        <f t="shared" si="71"/>
        <v>1800</v>
      </c>
      <c r="M154" s="71">
        <f t="shared" si="74"/>
        <v>0</v>
      </c>
      <c r="N154" s="71"/>
      <c r="O154" s="71"/>
      <c r="P154" s="75">
        <f t="shared" si="75"/>
        <v>0</v>
      </c>
      <c r="Q154" s="74">
        <f t="shared" si="76"/>
        <v>0</v>
      </c>
      <c r="R154" s="74">
        <f t="shared" si="77"/>
        <v>0</v>
      </c>
      <c r="S154" s="74">
        <f t="shared" si="78"/>
        <v>0</v>
      </c>
    </row>
    <row r="155" spans="1:19" s="39" customFormat="1" ht="12.75" hidden="1">
      <c r="A155" s="71">
        <v>6</v>
      </c>
      <c r="B155" s="70"/>
      <c r="C155" s="71" t="s">
        <v>52</v>
      </c>
      <c r="D155" s="72" t="str">
        <f t="shared" si="72"/>
        <v>Танцевальная студия - 2</v>
      </c>
      <c r="E155" s="71"/>
      <c r="F155" s="71">
        <f t="shared" si="70"/>
        <v>0</v>
      </c>
      <c r="G155" s="71">
        <v>7570</v>
      </c>
      <c r="H155" s="73">
        <f t="shared" si="79"/>
        <v>0</v>
      </c>
      <c r="I155" s="73"/>
      <c r="J155" s="71"/>
      <c r="K155" s="74">
        <f t="shared" si="73"/>
        <v>0</v>
      </c>
      <c r="L155" s="71">
        <f t="shared" si="71"/>
        <v>1800</v>
      </c>
      <c r="M155" s="71">
        <f t="shared" si="74"/>
        <v>0</v>
      </c>
      <c r="N155" s="71"/>
      <c r="O155" s="71"/>
      <c r="P155" s="75">
        <f t="shared" si="75"/>
        <v>0</v>
      </c>
      <c r="Q155" s="74">
        <f t="shared" si="76"/>
        <v>0</v>
      </c>
      <c r="R155" s="74">
        <f t="shared" si="77"/>
        <v>0</v>
      </c>
      <c r="S155" s="74">
        <f t="shared" si="78"/>
        <v>0</v>
      </c>
    </row>
    <row r="156" spans="1:19" s="39" customFormat="1" ht="12.75" hidden="1">
      <c r="A156" s="71">
        <v>7</v>
      </c>
      <c r="B156" s="70"/>
      <c r="C156" s="71" t="s">
        <v>52</v>
      </c>
      <c r="D156" s="72" t="str">
        <f t="shared" si="72"/>
        <v>Танцевальная студия - 2</v>
      </c>
      <c r="E156" s="71"/>
      <c r="F156" s="71">
        <f t="shared" si="70"/>
        <v>0</v>
      </c>
      <c r="G156" s="71">
        <v>7570</v>
      </c>
      <c r="H156" s="73">
        <f t="shared" si="79"/>
        <v>0</v>
      </c>
      <c r="I156" s="73"/>
      <c r="J156" s="71"/>
      <c r="K156" s="74">
        <f t="shared" si="73"/>
        <v>0</v>
      </c>
      <c r="L156" s="71">
        <f t="shared" si="71"/>
        <v>1800</v>
      </c>
      <c r="M156" s="71">
        <f t="shared" si="74"/>
        <v>0</v>
      </c>
      <c r="N156" s="71"/>
      <c r="O156" s="71"/>
      <c r="P156" s="75">
        <f t="shared" si="75"/>
        <v>0</v>
      </c>
      <c r="Q156" s="74">
        <f t="shared" si="76"/>
        <v>0</v>
      </c>
      <c r="R156" s="74">
        <f t="shared" si="77"/>
        <v>0</v>
      </c>
      <c r="S156" s="74">
        <f t="shared" si="78"/>
        <v>0</v>
      </c>
    </row>
    <row r="157" spans="1:19" s="39" customFormat="1" ht="12.75" hidden="1">
      <c r="A157" s="71">
        <v>8</v>
      </c>
      <c r="B157" s="70"/>
      <c r="C157" s="71" t="s">
        <v>52</v>
      </c>
      <c r="D157" s="72" t="str">
        <f t="shared" si="72"/>
        <v>Танцевальная студия - 2</v>
      </c>
      <c r="E157" s="71"/>
      <c r="F157" s="71">
        <f t="shared" si="70"/>
        <v>0</v>
      </c>
      <c r="G157" s="71">
        <v>7570</v>
      </c>
      <c r="H157" s="73">
        <f t="shared" si="79"/>
        <v>0</v>
      </c>
      <c r="I157" s="73"/>
      <c r="J157" s="71"/>
      <c r="K157" s="74">
        <f t="shared" si="73"/>
        <v>0</v>
      </c>
      <c r="L157" s="71">
        <f t="shared" si="71"/>
        <v>1800</v>
      </c>
      <c r="M157" s="71">
        <f t="shared" si="74"/>
        <v>0</v>
      </c>
      <c r="N157" s="71"/>
      <c r="O157" s="71"/>
      <c r="P157" s="75">
        <f t="shared" si="75"/>
        <v>0</v>
      </c>
      <c r="Q157" s="74">
        <f t="shared" si="76"/>
        <v>0</v>
      </c>
      <c r="R157" s="74">
        <f t="shared" si="77"/>
        <v>0</v>
      </c>
      <c r="S157" s="74">
        <f t="shared" si="78"/>
        <v>0</v>
      </c>
    </row>
    <row r="158" spans="1:19" s="39" customFormat="1" ht="12.75" hidden="1">
      <c r="A158" s="71">
        <v>9</v>
      </c>
      <c r="B158" s="70"/>
      <c r="C158" s="71" t="s">
        <v>52</v>
      </c>
      <c r="D158" s="72" t="str">
        <f t="shared" si="72"/>
        <v>Танцевальная студия - 2</v>
      </c>
      <c r="E158" s="71"/>
      <c r="F158" s="71">
        <f t="shared" si="70"/>
        <v>0</v>
      </c>
      <c r="G158" s="71">
        <v>7570</v>
      </c>
      <c r="H158" s="73">
        <f t="shared" si="79"/>
        <v>0</v>
      </c>
      <c r="I158" s="73"/>
      <c r="J158" s="71"/>
      <c r="K158" s="74">
        <f t="shared" si="73"/>
        <v>0</v>
      </c>
      <c r="L158" s="71">
        <f t="shared" si="71"/>
        <v>1800</v>
      </c>
      <c r="M158" s="71">
        <f t="shared" si="74"/>
        <v>0</v>
      </c>
      <c r="N158" s="71"/>
      <c r="O158" s="71"/>
      <c r="P158" s="75">
        <f t="shared" si="75"/>
        <v>0</v>
      </c>
      <c r="Q158" s="74">
        <f t="shared" si="76"/>
        <v>0</v>
      </c>
      <c r="R158" s="74">
        <f t="shared" si="77"/>
        <v>0</v>
      </c>
      <c r="S158" s="74">
        <f t="shared" si="78"/>
        <v>0</v>
      </c>
    </row>
    <row r="159" spans="1:19" s="39" customFormat="1" ht="13.5" hidden="1" thickBot="1">
      <c r="A159" s="79">
        <v>10</v>
      </c>
      <c r="B159" s="78"/>
      <c r="C159" s="79" t="s">
        <v>52</v>
      </c>
      <c r="D159" s="80" t="str">
        <f t="shared" si="72"/>
        <v>Танцевальная студия - 2</v>
      </c>
      <c r="E159" s="79"/>
      <c r="F159" s="79">
        <f t="shared" si="70"/>
        <v>0</v>
      </c>
      <c r="G159" s="79">
        <v>7570</v>
      </c>
      <c r="H159" s="81">
        <f t="shared" si="79"/>
        <v>0</v>
      </c>
      <c r="I159" s="81"/>
      <c r="J159" s="79"/>
      <c r="K159" s="82">
        <f t="shared" si="73"/>
        <v>0</v>
      </c>
      <c r="L159" s="79">
        <f t="shared" si="71"/>
        <v>1800</v>
      </c>
      <c r="M159" s="79">
        <f t="shared" si="74"/>
        <v>0</v>
      </c>
      <c r="N159" s="79"/>
      <c r="O159" s="79"/>
      <c r="P159" s="83">
        <f t="shared" si="75"/>
        <v>0</v>
      </c>
      <c r="Q159" s="82">
        <f t="shared" si="76"/>
        <v>0</v>
      </c>
      <c r="R159" s="82">
        <f t="shared" si="77"/>
        <v>0</v>
      </c>
      <c r="S159" s="82">
        <f t="shared" si="78"/>
        <v>0</v>
      </c>
    </row>
    <row r="160" spans="1:19" s="39" customFormat="1" ht="13.5" hidden="1" thickBot="1">
      <c r="A160" s="85"/>
      <c r="B160" s="86"/>
      <c r="C160" s="86"/>
      <c r="D160" s="86" t="s">
        <v>53</v>
      </c>
      <c r="E160" s="86"/>
      <c r="F160" s="87">
        <f>SUM(F150:F159)</f>
        <v>0</v>
      </c>
      <c r="G160" s="86"/>
      <c r="H160" s="86"/>
      <c r="I160" s="86"/>
      <c r="J160" s="86"/>
      <c r="K160" s="88"/>
      <c r="L160" s="86"/>
      <c r="M160" s="89">
        <f>SUM(M150:M159)</f>
        <v>0</v>
      </c>
      <c r="N160" s="89">
        <f>SUM(N150:N159)</f>
        <v>0</v>
      </c>
      <c r="O160" s="89">
        <f>SUM(O150:O159)</f>
        <v>0</v>
      </c>
      <c r="P160" s="86"/>
      <c r="Q160" s="87">
        <f>SUM(Q150:Q159)</f>
        <v>0</v>
      </c>
      <c r="R160" s="87">
        <f>SUM(R150:R159)</f>
        <v>0</v>
      </c>
      <c r="S160" s="90">
        <f>SUM(S150:S159)</f>
        <v>0</v>
      </c>
    </row>
    <row r="161" spans="1:19" s="39" customFormat="1" ht="12.75" hidden="1">
      <c r="A161" s="118"/>
      <c r="B161" s="92"/>
      <c r="C161" s="92"/>
      <c r="D161" s="92"/>
      <c r="E161" s="92"/>
      <c r="F161" s="93"/>
      <c r="G161" s="92"/>
      <c r="H161" s="92"/>
      <c r="I161" s="92"/>
      <c r="J161" s="92"/>
      <c r="K161" s="94"/>
      <c r="L161" s="92"/>
      <c r="M161" s="95"/>
      <c r="N161" s="95">
        <f>доходы!C19</f>
        <v>8</v>
      </c>
      <c r="O161" s="96" t="s">
        <v>116</v>
      </c>
      <c r="P161" s="92"/>
      <c r="Q161" s="97"/>
      <c r="R161" s="98"/>
      <c r="S161" s="122"/>
    </row>
    <row r="162" spans="1:19" s="39" customFormat="1" ht="12.75" hidden="1">
      <c r="A162" s="53" t="s">
        <v>123</v>
      </c>
      <c r="B162" s="41" t="e">
        <f>доходы!#REF!</f>
        <v>#REF!</v>
      </c>
      <c r="F162" s="40"/>
      <c r="G162" s="40"/>
      <c r="H162" s="40"/>
      <c r="I162" s="40"/>
      <c r="J162" s="40"/>
      <c r="K162" s="50"/>
      <c r="L162" s="40"/>
      <c r="M162" s="40"/>
      <c r="N162" s="40"/>
      <c r="O162" s="40"/>
      <c r="P162" s="40"/>
      <c r="Q162" s="40"/>
      <c r="R162" s="40"/>
      <c r="S162" s="40"/>
    </row>
    <row r="163" spans="1:19" s="39" customFormat="1" ht="13.5" hidden="1" thickBo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50"/>
      <c r="L163" s="40"/>
      <c r="M163" s="40"/>
      <c r="N163" s="40"/>
      <c r="O163" s="40"/>
      <c r="P163" s="40"/>
      <c r="Q163" s="40"/>
      <c r="R163" s="40"/>
      <c r="S163" s="40"/>
    </row>
    <row r="164" spans="1:19" s="39" customFormat="1" ht="51.75" hidden="1" thickBot="1">
      <c r="A164" s="54" t="s">
        <v>1</v>
      </c>
      <c r="B164" s="54" t="s">
        <v>2</v>
      </c>
      <c r="C164" s="54" t="s">
        <v>8</v>
      </c>
      <c r="D164" s="54" t="s">
        <v>3</v>
      </c>
      <c r="E164" s="54" t="s">
        <v>4</v>
      </c>
      <c r="F164" s="54" t="s">
        <v>5</v>
      </c>
      <c r="G164" s="54" t="s">
        <v>64</v>
      </c>
      <c r="H164" s="54" t="s">
        <v>117</v>
      </c>
      <c r="I164" s="54" t="s">
        <v>99</v>
      </c>
      <c r="J164" s="54" t="s">
        <v>65</v>
      </c>
      <c r="K164" s="55" t="s">
        <v>66</v>
      </c>
      <c r="L164" s="54" t="s">
        <v>67</v>
      </c>
      <c r="M164" s="54" t="s">
        <v>6</v>
      </c>
      <c r="N164" s="54" t="s">
        <v>54</v>
      </c>
      <c r="O164" s="54" t="s">
        <v>7</v>
      </c>
      <c r="P164" s="54" t="s">
        <v>48</v>
      </c>
      <c r="Q164" s="54" t="s">
        <v>49</v>
      </c>
      <c r="R164" s="54" t="s">
        <v>50</v>
      </c>
      <c r="S164" s="54" t="s">
        <v>51</v>
      </c>
    </row>
    <row r="165" spans="1:19" s="39" customFormat="1" ht="13.5" hidden="1" thickBot="1">
      <c r="A165" s="56">
        <v>1</v>
      </c>
      <c r="B165" s="57">
        <v>2</v>
      </c>
      <c r="C165" s="57">
        <v>3</v>
      </c>
      <c r="D165" s="57">
        <v>4</v>
      </c>
      <c r="E165" s="57">
        <v>5</v>
      </c>
      <c r="F165" s="57">
        <v>6</v>
      </c>
      <c r="G165" s="57">
        <v>7</v>
      </c>
      <c r="H165" s="57">
        <v>8</v>
      </c>
      <c r="I165" s="57">
        <v>9</v>
      </c>
      <c r="J165" s="57">
        <v>10</v>
      </c>
      <c r="K165" s="58">
        <v>11</v>
      </c>
      <c r="L165" s="57">
        <v>12</v>
      </c>
      <c r="M165" s="57">
        <v>13</v>
      </c>
      <c r="N165" s="57">
        <v>14</v>
      </c>
      <c r="O165" s="57">
        <v>15</v>
      </c>
      <c r="P165" s="57">
        <v>16</v>
      </c>
      <c r="Q165" s="57">
        <v>17</v>
      </c>
      <c r="R165" s="57">
        <v>18</v>
      </c>
      <c r="S165" s="59">
        <v>19</v>
      </c>
    </row>
    <row r="166" spans="1:19" s="112" customFormat="1" ht="43.5" customHeight="1" hidden="1" thickBot="1" thickTop="1">
      <c r="A166" s="123">
        <v>1</v>
      </c>
      <c r="B166" s="124"/>
      <c r="C166" s="62" t="s">
        <v>180</v>
      </c>
      <c r="D166" s="124" t="e">
        <f>B$162</f>
        <v>#REF!</v>
      </c>
      <c r="E166" s="125"/>
      <c r="F166" s="125">
        <f aca="true" t="shared" si="80" ref="F166:F175">ROUND(O166/18/4,2)</f>
        <v>0</v>
      </c>
      <c r="G166" s="125">
        <v>7570</v>
      </c>
      <c r="H166" s="126">
        <v>0</v>
      </c>
      <c r="I166" s="126">
        <v>0</v>
      </c>
      <c r="J166" s="125"/>
      <c r="K166" s="127">
        <f>(G166+G166*(H166+I166))*J166</f>
        <v>0</v>
      </c>
      <c r="L166" s="125">
        <f aca="true" t="shared" si="81" ref="L166:L175">18*25*4</f>
        <v>1800</v>
      </c>
      <c r="M166" s="125">
        <f>N166*O166</f>
        <v>0</v>
      </c>
      <c r="N166" s="125"/>
      <c r="O166" s="125"/>
      <c r="P166" s="128">
        <f>ROUND(K166/L166,2)</f>
        <v>0</v>
      </c>
      <c r="Q166" s="127">
        <f>N166*O166*P166</f>
        <v>0</v>
      </c>
      <c r="R166" s="127">
        <f>Q166*0.15</f>
        <v>0</v>
      </c>
      <c r="S166" s="129">
        <f>Q166+R166</f>
        <v>0</v>
      </c>
    </row>
    <row r="167" spans="1:19" s="39" customFormat="1" ht="12.75" hidden="1">
      <c r="A167" s="130">
        <v>2</v>
      </c>
      <c r="B167" s="131"/>
      <c r="C167" s="130" t="s">
        <v>52</v>
      </c>
      <c r="D167" s="132" t="e">
        <f aca="true" t="shared" si="82" ref="D167:D175">B$162</f>
        <v>#REF!</v>
      </c>
      <c r="E167" s="130"/>
      <c r="F167" s="130">
        <f t="shared" si="80"/>
        <v>0</v>
      </c>
      <c r="G167" s="130">
        <v>7570</v>
      </c>
      <c r="H167" s="133">
        <f>H$24</f>
        <v>0</v>
      </c>
      <c r="I167" s="133">
        <v>0</v>
      </c>
      <c r="J167" s="130"/>
      <c r="K167" s="134">
        <f aca="true" t="shared" si="83" ref="K167:K175">(G167+G167*(H167+I167))*J167</f>
        <v>0</v>
      </c>
      <c r="L167" s="130">
        <f t="shared" si="81"/>
        <v>1800</v>
      </c>
      <c r="M167" s="130">
        <f aca="true" t="shared" si="84" ref="M167:M175">N167*O167</f>
        <v>0</v>
      </c>
      <c r="N167" s="130"/>
      <c r="O167" s="130"/>
      <c r="P167" s="135">
        <f aca="true" t="shared" si="85" ref="P167:P175">ROUND(K167/L167,2)</f>
        <v>0</v>
      </c>
      <c r="Q167" s="134">
        <f aca="true" t="shared" si="86" ref="Q167:Q175">N167*O167*P167</f>
        <v>0</v>
      </c>
      <c r="R167" s="134">
        <f aca="true" t="shared" si="87" ref="R167:R175">Q167*0.15</f>
        <v>0</v>
      </c>
      <c r="S167" s="134">
        <f aca="true" t="shared" si="88" ref="S167:S175">Q167+R167</f>
        <v>0</v>
      </c>
    </row>
    <row r="168" spans="1:19" s="39" customFormat="1" ht="12.75" hidden="1">
      <c r="A168" s="71">
        <v>3</v>
      </c>
      <c r="B168" s="70"/>
      <c r="C168" s="71" t="s">
        <v>52</v>
      </c>
      <c r="D168" s="72" t="e">
        <f t="shared" si="82"/>
        <v>#REF!</v>
      </c>
      <c r="E168" s="71"/>
      <c r="F168" s="71">
        <f t="shared" si="80"/>
        <v>0</v>
      </c>
      <c r="G168" s="71">
        <v>7570</v>
      </c>
      <c r="H168" s="73">
        <f aca="true" t="shared" si="89" ref="H168:H175">H$24</f>
        <v>0</v>
      </c>
      <c r="I168" s="73"/>
      <c r="J168" s="71"/>
      <c r="K168" s="74">
        <f t="shared" si="83"/>
        <v>0</v>
      </c>
      <c r="L168" s="71">
        <f t="shared" si="81"/>
        <v>1800</v>
      </c>
      <c r="M168" s="71">
        <f t="shared" si="84"/>
        <v>0</v>
      </c>
      <c r="N168" s="71"/>
      <c r="O168" s="71"/>
      <c r="P168" s="75">
        <f t="shared" si="85"/>
        <v>0</v>
      </c>
      <c r="Q168" s="74">
        <f t="shared" si="86"/>
        <v>0</v>
      </c>
      <c r="R168" s="74">
        <f t="shared" si="87"/>
        <v>0</v>
      </c>
      <c r="S168" s="74">
        <f t="shared" si="88"/>
        <v>0</v>
      </c>
    </row>
    <row r="169" spans="1:19" s="39" customFormat="1" ht="12.75" hidden="1">
      <c r="A169" s="71">
        <v>4</v>
      </c>
      <c r="B169" s="70"/>
      <c r="C169" s="71" t="s">
        <v>52</v>
      </c>
      <c r="D169" s="72" t="e">
        <f t="shared" si="82"/>
        <v>#REF!</v>
      </c>
      <c r="E169" s="71"/>
      <c r="F169" s="71">
        <f t="shared" si="80"/>
        <v>0</v>
      </c>
      <c r="G169" s="71">
        <v>7570</v>
      </c>
      <c r="H169" s="73">
        <f t="shared" si="89"/>
        <v>0</v>
      </c>
      <c r="I169" s="73"/>
      <c r="J169" s="71"/>
      <c r="K169" s="74">
        <f t="shared" si="83"/>
        <v>0</v>
      </c>
      <c r="L169" s="71">
        <f t="shared" si="81"/>
        <v>1800</v>
      </c>
      <c r="M169" s="71">
        <f t="shared" si="84"/>
        <v>0</v>
      </c>
      <c r="N169" s="71"/>
      <c r="O169" s="71"/>
      <c r="P169" s="75">
        <f t="shared" si="85"/>
        <v>0</v>
      </c>
      <c r="Q169" s="74">
        <f t="shared" si="86"/>
        <v>0</v>
      </c>
      <c r="R169" s="74">
        <f t="shared" si="87"/>
        <v>0</v>
      </c>
      <c r="S169" s="74">
        <f t="shared" si="88"/>
        <v>0</v>
      </c>
    </row>
    <row r="170" spans="1:19" s="39" customFormat="1" ht="12.75" hidden="1">
      <c r="A170" s="71">
        <v>5</v>
      </c>
      <c r="B170" s="70"/>
      <c r="C170" s="71" t="s">
        <v>52</v>
      </c>
      <c r="D170" s="72" t="e">
        <f t="shared" si="82"/>
        <v>#REF!</v>
      </c>
      <c r="E170" s="71"/>
      <c r="F170" s="71">
        <f t="shared" si="80"/>
        <v>0</v>
      </c>
      <c r="G170" s="71">
        <v>7570</v>
      </c>
      <c r="H170" s="73">
        <f t="shared" si="89"/>
        <v>0</v>
      </c>
      <c r="I170" s="73"/>
      <c r="J170" s="71"/>
      <c r="K170" s="74">
        <f t="shared" si="83"/>
        <v>0</v>
      </c>
      <c r="L170" s="71">
        <f t="shared" si="81"/>
        <v>1800</v>
      </c>
      <c r="M170" s="71">
        <f t="shared" si="84"/>
        <v>0</v>
      </c>
      <c r="N170" s="71"/>
      <c r="O170" s="71"/>
      <c r="P170" s="75">
        <f t="shared" si="85"/>
        <v>0</v>
      </c>
      <c r="Q170" s="74">
        <f t="shared" si="86"/>
        <v>0</v>
      </c>
      <c r="R170" s="74">
        <f t="shared" si="87"/>
        <v>0</v>
      </c>
      <c r="S170" s="74">
        <f t="shared" si="88"/>
        <v>0</v>
      </c>
    </row>
    <row r="171" spans="1:19" s="39" customFormat="1" ht="12.75" hidden="1">
      <c r="A171" s="71">
        <v>6</v>
      </c>
      <c r="B171" s="70"/>
      <c r="C171" s="71" t="s">
        <v>52</v>
      </c>
      <c r="D171" s="72" t="e">
        <f t="shared" si="82"/>
        <v>#REF!</v>
      </c>
      <c r="E171" s="71"/>
      <c r="F171" s="71">
        <f t="shared" si="80"/>
        <v>0</v>
      </c>
      <c r="G171" s="71">
        <v>7570</v>
      </c>
      <c r="H171" s="73">
        <f t="shared" si="89"/>
        <v>0</v>
      </c>
      <c r="I171" s="73"/>
      <c r="J171" s="71"/>
      <c r="K171" s="74">
        <f t="shared" si="83"/>
        <v>0</v>
      </c>
      <c r="L171" s="71">
        <f t="shared" si="81"/>
        <v>1800</v>
      </c>
      <c r="M171" s="71">
        <f t="shared" si="84"/>
        <v>0</v>
      </c>
      <c r="N171" s="71"/>
      <c r="O171" s="71"/>
      <c r="P171" s="75">
        <f t="shared" si="85"/>
        <v>0</v>
      </c>
      <c r="Q171" s="74">
        <f t="shared" si="86"/>
        <v>0</v>
      </c>
      <c r="R171" s="74">
        <f t="shared" si="87"/>
        <v>0</v>
      </c>
      <c r="S171" s="74">
        <f t="shared" si="88"/>
        <v>0</v>
      </c>
    </row>
    <row r="172" spans="1:19" s="39" customFormat="1" ht="12.75" hidden="1">
      <c r="A172" s="71">
        <v>7</v>
      </c>
      <c r="B172" s="70"/>
      <c r="C172" s="71" t="s">
        <v>52</v>
      </c>
      <c r="D172" s="72" t="e">
        <f t="shared" si="82"/>
        <v>#REF!</v>
      </c>
      <c r="E172" s="71"/>
      <c r="F172" s="71">
        <f t="shared" si="80"/>
        <v>0</v>
      </c>
      <c r="G172" s="71">
        <v>7570</v>
      </c>
      <c r="H172" s="73">
        <f t="shared" si="89"/>
        <v>0</v>
      </c>
      <c r="I172" s="73"/>
      <c r="J172" s="71"/>
      <c r="K172" s="74">
        <f t="shared" si="83"/>
        <v>0</v>
      </c>
      <c r="L172" s="71">
        <f t="shared" si="81"/>
        <v>1800</v>
      </c>
      <c r="M172" s="71">
        <f t="shared" si="84"/>
        <v>0</v>
      </c>
      <c r="N172" s="71"/>
      <c r="O172" s="71"/>
      <c r="P172" s="75">
        <f t="shared" si="85"/>
        <v>0</v>
      </c>
      <c r="Q172" s="74">
        <f t="shared" si="86"/>
        <v>0</v>
      </c>
      <c r="R172" s="74">
        <f t="shared" si="87"/>
        <v>0</v>
      </c>
      <c r="S172" s="74">
        <f t="shared" si="88"/>
        <v>0</v>
      </c>
    </row>
    <row r="173" spans="1:19" s="39" customFormat="1" ht="12.75" hidden="1">
      <c r="A173" s="71">
        <v>8</v>
      </c>
      <c r="B173" s="70"/>
      <c r="C173" s="71" t="s">
        <v>52</v>
      </c>
      <c r="D173" s="72" t="e">
        <f t="shared" si="82"/>
        <v>#REF!</v>
      </c>
      <c r="E173" s="71"/>
      <c r="F173" s="71">
        <f t="shared" si="80"/>
        <v>0</v>
      </c>
      <c r="G173" s="71">
        <v>7570</v>
      </c>
      <c r="H173" s="73">
        <f t="shared" si="89"/>
        <v>0</v>
      </c>
      <c r="I173" s="73"/>
      <c r="J173" s="71"/>
      <c r="K173" s="74">
        <f t="shared" si="83"/>
        <v>0</v>
      </c>
      <c r="L173" s="71">
        <f t="shared" si="81"/>
        <v>1800</v>
      </c>
      <c r="M173" s="71">
        <f t="shared" si="84"/>
        <v>0</v>
      </c>
      <c r="N173" s="71"/>
      <c r="O173" s="71"/>
      <c r="P173" s="75">
        <f t="shared" si="85"/>
        <v>0</v>
      </c>
      <c r="Q173" s="74">
        <f t="shared" si="86"/>
        <v>0</v>
      </c>
      <c r="R173" s="74">
        <f t="shared" si="87"/>
        <v>0</v>
      </c>
      <c r="S173" s="74">
        <f t="shared" si="88"/>
        <v>0</v>
      </c>
    </row>
    <row r="174" spans="1:19" s="39" customFormat="1" ht="12.75" hidden="1">
      <c r="A174" s="71">
        <v>9</v>
      </c>
      <c r="B174" s="70"/>
      <c r="C174" s="71" t="s">
        <v>52</v>
      </c>
      <c r="D174" s="72" t="e">
        <f t="shared" si="82"/>
        <v>#REF!</v>
      </c>
      <c r="E174" s="71"/>
      <c r="F174" s="71">
        <f t="shared" si="80"/>
        <v>0</v>
      </c>
      <c r="G174" s="71">
        <v>7570</v>
      </c>
      <c r="H174" s="73">
        <f t="shared" si="89"/>
        <v>0</v>
      </c>
      <c r="I174" s="73"/>
      <c r="J174" s="71"/>
      <c r="K174" s="74">
        <f t="shared" si="83"/>
        <v>0</v>
      </c>
      <c r="L174" s="71">
        <f t="shared" si="81"/>
        <v>1800</v>
      </c>
      <c r="M174" s="71">
        <f t="shared" si="84"/>
        <v>0</v>
      </c>
      <c r="N174" s="71"/>
      <c r="O174" s="71"/>
      <c r="P174" s="75">
        <f t="shared" si="85"/>
        <v>0</v>
      </c>
      <c r="Q174" s="74">
        <f t="shared" si="86"/>
        <v>0</v>
      </c>
      <c r="R174" s="74">
        <f t="shared" si="87"/>
        <v>0</v>
      </c>
      <c r="S174" s="74">
        <f t="shared" si="88"/>
        <v>0</v>
      </c>
    </row>
    <row r="175" spans="1:19" s="39" customFormat="1" ht="13.5" hidden="1" thickBot="1">
      <c r="A175" s="79">
        <v>10</v>
      </c>
      <c r="B175" s="78"/>
      <c r="C175" s="79" t="s">
        <v>52</v>
      </c>
      <c r="D175" s="80" t="e">
        <f t="shared" si="82"/>
        <v>#REF!</v>
      </c>
      <c r="E175" s="79"/>
      <c r="F175" s="79">
        <f t="shared" si="80"/>
        <v>0</v>
      </c>
      <c r="G175" s="79">
        <v>7570</v>
      </c>
      <c r="H175" s="81">
        <f t="shared" si="89"/>
        <v>0</v>
      </c>
      <c r="I175" s="81"/>
      <c r="J175" s="79"/>
      <c r="K175" s="82">
        <f t="shared" si="83"/>
        <v>0</v>
      </c>
      <c r="L175" s="79">
        <f t="shared" si="81"/>
        <v>1800</v>
      </c>
      <c r="M175" s="79">
        <f t="shared" si="84"/>
        <v>0</v>
      </c>
      <c r="N175" s="79"/>
      <c r="O175" s="79"/>
      <c r="P175" s="83">
        <f t="shared" si="85"/>
        <v>0</v>
      </c>
      <c r="Q175" s="82">
        <f t="shared" si="86"/>
        <v>0</v>
      </c>
      <c r="R175" s="82">
        <f t="shared" si="87"/>
        <v>0</v>
      </c>
      <c r="S175" s="82">
        <f t="shared" si="88"/>
        <v>0</v>
      </c>
    </row>
    <row r="176" spans="1:19" s="39" customFormat="1" ht="13.5" hidden="1" thickBot="1">
      <c r="A176" s="85"/>
      <c r="B176" s="86"/>
      <c r="C176" s="86"/>
      <c r="D176" s="86" t="s">
        <v>53</v>
      </c>
      <c r="E176" s="86"/>
      <c r="F176" s="87">
        <f>SUM(F166:F175)</f>
        <v>0</v>
      </c>
      <c r="G176" s="86"/>
      <c r="H176" s="86"/>
      <c r="I176" s="86"/>
      <c r="J176" s="86"/>
      <c r="K176" s="88"/>
      <c r="L176" s="86"/>
      <c r="M176" s="89">
        <f>SUM(M166:M175)</f>
        <v>0</v>
      </c>
      <c r="N176" s="89">
        <f>SUM(N166:N175)</f>
        <v>0</v>
      </c>
      <c r="O176" s="89">
        <f>SUM(O166:O175)</f>
        <v>0</v>
      </c>
      <c r="P176" s="86"/>
      <c r="Q176" s="87">
        <f>SUM(Q166:Q175)</f>
        <v>0</v>
      </c>
      <c r="R176" s="87">
        <f>SUM(R166:R175)</f>
        <v>0</v>
      </c>
      <c r="S176" s="90">
        <f>SUM(S166:S175)</f>
        <v>0</v>
      </c>
    </row>
    <row r="177" spans="1:19" s="39" customFormat="1" ht="12.75" hidden="1">
      <c r="A177" s="118"/>
      <c r="B177" s="92"/>
      <c r="C177" s="92"/>
      <c r="D177" s="92"/>
      <c r="E177" s="92"/>
      <c r="F177" s="93"/>
      <c r="G177" s="92"/>
      <c r="H177" s="92"/>
      <c r="I177" s="92"/>
      <c r="J177" s="92"/>
      <c r="K177" s="94"/>
      <c r="L177" s="92"/>
      <c r="M177" s="95"/>
      <c r="N177" s="95" t="e">
        <f>доходы!#REF!</f>
        <v>#REF!</v>
      </c>
      <c r="O177" s="96" t="s">
        <v>116</v>
      </c>
      <c r="P177" s="92"/>
      <c r="Q177" s="97"/>
      <c r="R177" s="98"/>
      <c r="S177" s="122"/>
    </row>
    <row r="178" spans="1:19" s="39" customFormat="1" ht="12.75" hidden="1">
      <c r="A178" s="53" t="s">
        <v>124</v>
      </c>
      <c r="B178" s="41" t="e">
        <f>доходы!#REF!</f>
        <v>#REF!</v>
      </c>
      <c r="F178" s="40"/>
      <c r="G178" s="40"/>
      <c r="H178" s="40"/>
      <c r="I178" s="40"/>
      <c r="J178" s="40"/>
      <c r="K178" s="50"/>
      <c r="L178" s="40"/>
      <c r="M178" s="40"/>
      <c r="N178" s="40"/>
      <c r="O178" s="40"/>
      <c r="P178" s="40"/>
      <c r="Q178" s="40"/>
      <c r="R178" s="40"/>
      <c r="S178" s="40"/>
    </row>
    <row r="179" spans="1:19" s="39" customFormat="1" ht="13.5" hidden="1" thickBo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50"/>
      <c r="L179" s="40"/>
      <c r="M179" s="40"/>
      <c r="N179" s="40"/>
      <c r="O179" s="40"/>
      <c r="P179" s="40"/>
      <c r="Q179" s="40"/>
      <c r="R179" s="40"/>
      <c r="S179" s="40"/>
    </row>
    <row r="180" spans="1:19" s="39" customFormat="1" ht="51.75" hidden="1" thickBot="1">
      <c r="A180" s="54" t="s">
        <v>1</v>
      </c>
      <c r="B180" s="54" t="s">
        <v>2</v>
      </c>
      <c r="C180" s="54" t="s">
        <v>8</v>
      </c>
      <c r="D180" s="54" t="s">
        <v>3</v>
      </c>
      <c r="E180" s="54" t="s">
        <v>4</v>
      </c>
      <c r="F180" s="54" t="s">
        <v>5</v>
      </c>
      <c r="G180" s="54" t="s">
        <v>64</v>
      </c>
      <c r="H180" s="54" t="s">
        <v>117</v>
      </c>
      <c r="I180" s="54" t="s">
        <v>99</v>
      </c>
      <c r="J180" s="54" t="s">
        <v>65</v>
      </c>
      <c r="K180" s="55" t="s">
        <v>66</v>
      </c>
      <c r="L180" s="54" t="s">
        <v>67</v>
      </c>
      <c r="M180" s="54" t="s">
        <v>6</v>
      </c>
      <c r="N180" s="54" t="s">
        <v>54</v>
      </c>
      <c r="O180" s="54" t="s">
        <v>7</v>
      </c>
      <c r="P180" s="54" t="s">
        <v>48</v>
      </c>
      <c r="Q180" s="54" t="s">
        <v>49</v>
      </c>
      <c r="R180" s="54" t="s">
        <v>50</v>
      </c>
      <c r="S180" s="54" t="s">
        <v>51</v>
      </c>
    </row>
    <row r="181" spans="1:19" s="39" customFormat="1" ht="13.5" hidden="1" thickBot="1">
      <c r="A181" s="56">
        <v>1</v>
      </c>
      <c r="B181" s="57">
        <v>2</v>
      </c>
      <c r="C181" s="57">
        <v>3</v>
      </c>
      <c r="D181" s="57">
        <v>4</v>
      </c>
      <c r="E181" s="57">
        <v>5</v>
      </c>
      <c r="F181" s="57">
        <v>6</v>
      </c>
      <c r="G181" s="57">
        <v>7</v>
      </c>
      <c r="H181" s="57">
        <v>8</v>
      </c>
      <c r="I181" s="57">
        <v>9</v>
      </c>
      <c r="J181" s="57">
        <v>10</v>
      </c>
      <c r="K181" s="58">
        <v>11</v>
      </c>
      <c r="L181" s="57">
        <v>12</v>
      </c>
      <c r="M181" s="57">
        <v>13</v>
      </c>
      <c r="N181" s="57">
        <v>14</v>
      </c>
      <c r="O181" s="57">
        <v>15</v>
      </c>
      <c r="P181" s="57">
        <v>16</v>
      </c>
      <c r="Q181" s="57">
        <v>17</v>
      </c>
      <c r="R181" s="57">
        <v>18</v>
      </c>
      <c r="S181" s="59">
        <v>19</v>
      </c>
    </row>
    <row r="182" spans="1:19" s="112" customFormat="1" ht="43.5" customHeight="1" hidden="1" thickTop="1">
      <c r="A182" s="60">
        <v>1</v>
      </c>
      <c r="B182" s="61"/>
      <c r="C182" s="62" t="s">
        <v>180</v>
      </c>
      <c r="D182" s="61" t="e">
        <f>B$178</f>
        <v>#REF!</v>
      </c>
      <c r="E182" s="63"/>
      <c r="F182" s="63">
        <f aca="true" t="shared" si="90" ref="F182:F191">ROUND(O182/18/4,2)</f>
        <v>0</v>
      </c>
      <c r="G182" s="63">
        <v>7570</v>
      </c>
      <c r="H182" s="64">
        <v>0</v>
      </c>
      <c r="I182" s="64">
        <v>0</v>
      </c>
      <c r="J182" s="63"/>
      <c r="K182" s="65">
        <f>(G182+G182*(H182+I182))*J182</f>
        <v>0</v>
      </c>
      <c r="L182" s="63">
        <f aca="true" t="shared" si="91" ref="L182:L191">18*25*4</f>
        <v>1800</v>
      </c>
      <c r="M182" s="63">
        <f>N182*O182</f>
        <v>0</v>
      </c>
      <c r="N182" s="63"/>
      <c r="O182" s="63"/>
      <c r="P182" s="66">
        <f>ROUND(K182/L182,2)</f>
        <v>0</v>
      </c>
      <c r="Q182" s="65">
        <f>N182*O182*P182</f>
        <v>0</v>
      </c>
      <c r="R182" s="65">
        <f>Q182*0.15</f>
        <v>0</v>
      </c>
      <c r="S182" s="67">
        <f>Q182+R182</f>
        <v>0</v>
      </c>
    </row>
    <row r="183" spans="1:19" s="39" customFormat="1" ht="12.75" hidden="1">
      <c r="A183" s="69">
        <v>2</v>
      </c>
      <c r="B183" s="70"/>
      <c r="C183" s="71" t="s">
        <v>52</v>
      </c>
      <c r="D183" s="72" t="e">
        <f aca="true" t="shared" si="92" ref="D183:D191">B$178</f>
        <v>#REF!</v>
      </c>
      <c r="E183" s="71"/>
      <c r="F183" s="71">
        <f t="shared" si="90"/>
        <v>0</v>
      </c>
      <c r="G183" s="71">
        <v>7570</v>
      </c>
      <c r="H183" s="73">
        <f>H$24</f>
        <v>0</v>
      </c>
      <c r="I183" s="73">
        <v>0</v>
      </c>
      <c r="J183" s="71"/>
      <c r="K183" s="74">
        <f aca="true" t="shared" si="93" ref="K183:K191">(G183+G183*(H183+I183))*J183</f>
        <v>0</v>
      </c>
      <c r="L183" s="71">
        <f t="shared" si="91"/>
        <v>1800</v>
      </c>
      <c r="M183" s="71">
        <f aca="true" t="shared" si="94" ref="M183:M191">N183*O183</f>
        <v>0</v>
      </c>
      <c r="N183" s="71"/>
      <c r="O183" s="71"/>
      <c r="P183" s="75">
        <f aca="true" t="shared" si="95" ref="P183:P191">ROUND(K183/L183,2)</f>
        <v>0</v>
      </c>
      <c r="Q183" s="74">
        <f aca="true" t="shared" si="96" ref="Q183:Q191">N183*O183*P183</f>
        <v>0</v>
      </c>
      <c r="R183" s="74">
        <f aca="true" t="shared" si="97" ref="R183:R191">Q183*0.15</f>
        <v>0</v>
      </c>
      <c r="S183" s="76">
        <f aca="true" t="shared" si="98" ref="S183:S191">Q183+R183</f>
        <v>0</v>
      </c>
    </row>
    <row r="184" spans="1:19" s="39" customFormat="1" ht="12.75" hidden="1">
      <c r="A184" s="69">
        <v>3</v>
      </c>
      <c r="B184" s="70"/>
      <c r="C184" s="71" t="s">
        <v>52</v>
      </c>
      <c r="D184" s="72" t="e">
        <f t="shared" si="92"/>
        <v>#REF!</v>
      </c>
      <c r="E184" s="71"/>
      <c r="F184" s="71">
        <f t="shared" si="90"/>
        <v>0</v>
      </c>
      <c r="G184" s="71">
        <v>7570</v>
      </c>
      <c r="H184" s="73">
        <f aca="true" t="shared" si="99" ref="H184:H191">H$24</f>
        <v>0</v>
      </c>
      <c r="I184" s="73"/>
      <c r="J184" s="71"/>
      <c r="K184" s="74">
        <f t="shared" si="93"/>
        <v>0</v>
      </c>
      <c r="L184" s="71">
        <f t="shared" si="91"/>
        <v>1800</v>
      </c>
      <c r="M184" s="71">
        <f t="shared" si="94"/>
        <v>0</v>
      </c>
      <c r="N184" s="71"/>
      <c r="O184" s="71"/>
      <c r="P184" s="75">
        <f t="shared" si="95"/>
        <v>0</v>
      </c>
      <c r="Q184" s="74">
        <f t="shared" si="96"/>
        <v>0</v>
      </c>
      <c r="R184" s="74">
        <f t="shared" si="97"/>
        <v>0</v>
      </c>
      <c r="S184" s="76">
        <f t="shared" si="98"/>
        <v>0</v>
      </c>
    </row>
    <row r="185" spans="1:19" s="39" customFormat="1" ht="12.75" hidden="1">
      <c r="A185" s="69">
        <v>4</v>
      </c>
      <c r="B185" s="70"/>
      <c r="C185" s="71" t="s">
        <v>52</v>
      </c>
      <c r="D185" s="72" t="e">
        <f t="shared" si="92"/>
        <v>#REF!</v>
      </c>
      <c r="E185" s="71"/>
      <c r="F185" s="71">
        <f t="shared" si="90"/>
        <v>0</v>
      </c>
      <c r="G185" s="71">
        <v>7570</v>
      </c>
      <c r="H185" s="73">
        <f t="shared" si="99"/>
        <v>0</v>
      </c>
      <c r="I185" s="73"/>
      <c r="J185" s="71"/>
      <c r="K185" s="74">
        <f t="shared" si="93"/>
        <v>0</v>
      </c>
      <c r="L185" s="71">
        <f t="shared" si="91"/>
        <v>1800</v>
      </c>
      <c r="M185" s="71">
        <f t="shared" si="94"/>
        <v>0</v>
      </c>
      <c r="N185" s="71"/>
      <c r="O185" s="71"/>
      <c r="P185" s="75">
        <f t="shared" si="95"/>
        <v>0</v>
      </c>
      <c r="Q185" s="74">
        <f t="shared" si="96"/>
        <v>0</v>
      </c>
      <c r="R185" s="74">
        <f t="shared" si="97"/>
        <v>0</v>
      </c>
      <c r="S185" s="76">
        <f t="shared" si="98"/>
        <v>0</v>
      </c>
    </row>
    <row r="186" spans="1:19" s="39" customFormat="1" ht="12.75" hidden="1">
      <c r="A186" s="69">
        <v>5</v>
      </c>
      <c r="B186" s="70"/>
      <c r="C186" s="71" t="s">
        <v>52</v>
      </c>
      <c r="D186" s="72" t="e">
        <f t="shared" si="92"/>
        <v>#REF!</v>
      </c>
      <c r="E186" s="71"/>
      <c r="F186" s="71">
        <f t="shared" si="90"/>
        <v>0</v>
      </c>
      <c r="G186" s="71">
        <v>7570</v>
      </c>
      <c r="H186" s="73">
        <f t="shared" si="99"/>
        <v>0</v>
      </c>
      <c r="I186" s="73"/>
      <c r="J186" s="71"/>
      <c r="K186" s="74">
        <f t="shared" si="93"/>
        <v>0</v>
      </c>
      <c r="L186" s="71">
        <f t="shared" si="91"/>
        <v>1800</v>
      </c>
      <c r="M186" s="71">
        <f t="shared" si="94"/>
        <v>0</v>
      </c>
      <c r="N186" s="71"/>
      <c r="O186" s="71"/>
      <c r="P186" s="75">
        <f t="shared" si="95"/>
        <v>0</v>
      </c>
      <c r="Q186" s="74">
        <f t="shared" si="96"/>
        <v>0</v>
      </c>
      <c r="R186" s="74">
        <f t="shared" si="97"/>
        <v>0</v>
      </c>
      <c r="S186" s="76">
        <f t="shared" si="98"/>
        <v>0</v>
      </c>
    </row>
    <row r="187" spans="1:19" s="39" customFormat="1" ht="12.75" hidden="1">
      <c r="A187" s="69">
        <v>6</v>
      </c>
      <c r="B187" s="70"/>
      <c r="C187" s="71" t="s">
        <v>52</v>
      </c>
      <c r="D187" s="72" t="e">
        <f t="shared" si="92"/>
        <v>#REF!</v>
      </c>
      <c r="E187" s="71"/>
      <c r="F187" s="71">
        <f t="shared" si="90"/>
        <v>0</v>
      </c>
      <c r="G187" s="71">
        <v>7570</v>
      </c>
      <c r="H187" s="73">
        <f t="shared" si="99"/>
        <v>0</v>
      </c>
      <c r="I187" s="73"/>
      <c r="J187" s="71"/>
      <c r="K187" s="74">
        <f t="shared" si="93"/>
        <v>0</v>
      </c>
      <c r="L187" s="71">
        <f t="shared" si="91"/>
        <v>1800</v>
      </c>
      <c r="M187" s="71">
        <f t="shared" si="94"/>
        <v>0</v>
      </c>
      <c r="N187" s="71"/>
      <c r="O187" s="71"/>
      <c r="P187" s="75">
        <f t="shared" si="95"/>
        <v>0</v>
      </c>
      <c r="Q187" s="74">
        <f t="shared" si="96"/>
        <v>0</v>
      </c>
      <c r="R187" s="74">
        <f t="shared" si="97"/>
        <v>0</v>
      </c>
      <c r="S187" s="76">
        <f t="shared" si="98"/>
        <v>0</v>
      </c>
    </row>
    <row r="188" spans="1:19" s="39" customFormat="1" ht="12.75" hidden="1">
      <c r="A188" s="69">
        <v>7</v>
      </c>
      <c r="B188" s="70"/>
      <c r="C188" s="71" t="s">
        <v>52</v>
      </c>
      <c r="D188" s="72" t="e">
        <f t="shared" si="92"/>
        <v>#REF!</v>
      </c>
      <c r="E188" s="71"/>
      <c r="F188" s="71">
        <f t="shared" si="90"/>
        <v>0</v>
      </c>
      <c r="G188" s="71">
        <v>7570</v>
      </c>
      <c r="H188" s="73">
        <f t="shared" si="99"/>
        <v>0</v>
      </c>
      <c r="I188" s="73"/>
      <c r="J188" s="71"/>
      <c r="K188" s="74">
        <f t="shared" si="93"/>
        <v>0</v>
      </c>
      <c r="L188" s="71">
        <f t="shared" si="91"/>
        <v>1800</v>
      </c>
      <c r="M188" s="71">
        <f t="shared" si="94"/>
        <v>0</v>
      </c>
      <c r="N188" s="71"/>
      <c r="O188" s="71"/>
      <c r="P188" s="75">
        <f t="shared" si="95"/>
        <v>0</v>
      </c>
      <c r="Q188" s="74">
        <f t="shared" si="96"/>
        <v>0</v>
      </c>
      <c r="R188" s="74">
        <f t="shared" si="97"/>
        <v>0</v>
      </c>
      <c r="S188" s="76">
        <f t="shared" si="98"/>
        <v>0</v>
      </c>
    </row>
    <row r="189" spans="1:19" s="39" customFormat="1" ht="12.75" hidden="1">
      <c r="A189" s="69">
        <v>8</v>
      </c>
      <c r="B189" s="70"/>
      <c r="C189" s="71" t="s">
        <v>52</v>
      </c>
      <c r="D189" s="72" t="e">
        <f t="shared" si="92"/>
        <v>#REF!</v>
      </c>
      <c r="E189" s="71"/>
      <c r="F189" s="71">
        <f t="shared" si="90"/>
        <v>0</v>
      </c>
      <c r="G189" s="71">
        <v>7570</v>
      </c>
      <c r="H189" s="73">
        <f t="shared" si="99"/>
        <v>0</v>
      </c>
      <c r="I189" s="73"/>
      <c r="J189" s="71"/>
      <c r="K189" s="74">
        <f t="shared" si="93"/>
        <v>0</v>
      </c>
      <c r="L189" s="71">
        <f t="shared" si="91"/>
        <v>1800</v>
      </c>
      <c r="M189" s="71">
        <f t="shared" si="94"/>
        <v>0</v>
      </c>
      <c r="N189" s="71"/>
      <c r="O189" s="71"/>
      <c r="P189" s="75">
        <f t="shared" si="95"/>
        <v>0</v>
      </c>
      <c r="Q189" s="74">
        <f t="shared" si="96"/>
        <v>0</v>
      </c>
      <c r="R189" s="74">
        <f t="shared" si="97"/>
        <v>0</v>
      </c>
      <c r="S189" s="76">
        <f t="shared" si="98"/>
        <v>0</v>
      </c>
    </row>
    <row r="190" spans="1:19" s="39" customFormat="1" ht="12.75" hidden="1">
      <c r="A190" s="69">
        <v>9</v>
      </c>
      <c r="B190" s="70"/>
      <c r="C190" s="71" t="s">
        <v>52</v>
      </c>
      <c r="D190" s="72" t="e">
        <f t="shared" si="92"/>
        <v>#REF!</v>
      </c>
      <c r="E190" s="71"/>
      <c r="F190" s="71">
        <f t="shared" si="90"/>
        <v>0</v>
      </c>
      <c r="G190" s="71">
        <v>7570</v>
      </c>
      <c r="H190" s="73">
        <f t="shared" si="99"/>
        <v>0</v>
      </c>
      <c r="I190" s="73"/>
      <c r="J190" s="71"/>
      <c r="K190" s="74">
        <f t="shared" si="93"/>
        <v>0</v>
      </c>
      <c r="L190" s="71">
        <f t="shared" si="91"/>
        <v>1800</v>
      </c>
      <c r="M190" s="71">
        <f t="shared" si="94"/>
        <v>0</v>
      </c>
      <c r="N190" s="71"/>
      <c r="O190" s="71"/>
      <c r="P190" s="75">
        <f t="shared" si="95"/>
        <v>0</v>
      </c>
      <c r="Q190" s="74">
        <f t="shared" si="96"/>
        <v>0</v>
      </c>
      <c r="R190" s="74">
        <f t="shared" si="97"/>
        <v>0</v>
      </c>
      <c r="S190" s="76">
        <f t="shared" si="98"/>
        <v>0</v>
      </c>
    </row>
    <row r="191" spans="1:19" s="39" customFormat="1" ht="13.5" hidden="1" thickBot="1">
      <c r="A191" s="77">
        <v>10</v>
      </c>
      <c r="B191" s="78"/>
      <c r="C191" s="79" t="s">
        <v>52</v>
      </c>
      <c r="D191" s="80" t="e">
        <f t="shared" si="92"/>
        <v>#REF!</v>
      </c>
      <c r="E191" s="79"/>
      <c r="F191" s="79">
        <f t="shared" si="90"/>
        <v>0</v>
      </c>
      <c r="G191" s="79">
        <v>7570</v>
      </c>
      <c r="H191" s="81">
        <f t="shared" si="99"/>
        <v>0</v>
      </c>
      <c r="I191" s="81"/>
      <c r="J191" s="79"/>
      <c r="K191" s="82">
        <f t="shared" si="93"/>
        <v>0</v>
      </c>
      <c r="L191" s="79">
        <f t="shared" si="91"/>
        <v>1800</v>
      </c>
      <c r="M191" s="79">
        <f t="shared" si="94"/>
        <v>0</v>
      </c>
      <c r="N191" s="79"/>
      <c r="O191" s="79"/>
      <c r="P191" s="83">
        <f t="shared" si="95"/>
        <v>0</v>
      </c>
      <c r="Q191" s="82">
        <f t="shared" si="96"/>
        <v>0</v>
      </c>
      <c r="R191" s="82">
        <f t="shared" si="97"/>
        <v>0</v>
      </c>
      <c r="S191" s="84">
        <f t="shared" si="98"/>
        <v>0</v>
      </c>
    </row>
    <row r="192" spans="1:19" s="39" customFormat="1" ht="13.5" hidden="1" thickBot="1">
      <c r="A192" s="85"/>
      <c r="B192" s="86"/>
      <c r="C192" s="86"/>
      <c r="D192" s="86" t="s">
        <v>53</v>
      </c>
      <c r="E192" s="86"/>
      <c r="F192" s="87">
        <f>SUM(F182:F191)</f>
        <v>0</v>
      </c>
      <c r="G192" s="86"/>
      <c r="H192" s="86"/>
      <c r="I192" s="86"/>
      <c r="J192" s="86"/>
      <c r="K192" s="88"/>
      <c r="L192" s="86"/>
      <c r="M192" s="89">
        <f>SUM(M182:M191)</f>
        <v>0</v>
      </c>
      <c r="N192" s="89">
        <f>SUM(N182:N191)</f>
        <v>0</v>
      </c>
      <c r="O192" s="89">
        <f>SUM(O182:O191)</f>
        <v>0</v>
      </c>
      <c r="P192" s="86"/>
      <c r="Q192" s="87">
        <f>SUM(Q182:Q191)</f>
        <v>0</v>
      </c>
      <c r="R192" s="87">
        <f>SUM(R182:R191)</f>
        <v>0</v>
      </c>
      <c r="S192" s="90">
        <f>SUM(S182:S191)</f>
        <v>0</v>
      </c>
    </row>
    <row r="193" spans="1:19" s="39" customFormat="1" ht="12.75" hidden="1">
      <c r="A193" s="118"/>
      <c r="B193" s="92"/>
      <c r="C193" s="92"/>
      <c r="D193" s="92"/>
      <c r="E193" s="92"/>
      <c r="F193" s="93"/>
      <c r="G193" s="92"/>
      <c r="H193" s="92"/>
      <c r="I193" s="92"/>
      <c r="J193" s="92"/>
      <c r="K193" s="94"/>
      <c r="L193" s="92"/>
      <c r="M193" s="95"/>
      <c r="N193" s="95" t="e">
        <f>доходы!#REF!</f>
        <v>#REF!</v>
      </c>
      <c r="O193" s="96" t="s">
        <v>116</v>
      </c>
      <c r="P193" s="119"/>
      <c r="Q193" s="120"/>
      <c r="R193" s="121"/>
      <c r="S193" s="136"/>
    </row>
    <row r="194" spans="1:19" s="39" customFormat="1" ht="12.75" hidden="1">
      <c r="A194" s="137" t="s">
        <v>125</v>
      </c>
      <c r="B194" s="138" t="e">
        <f>доходы!#REF!</f>
        <v>#REF!</v>
      </c>
      <c r="C194" s="92"/>
      <c r="D194" s="92"/>
      <c r="E194" s="92"/>
      <c r="F194" s="139"/>
      <c r="G194" s="139"/>
      <c r="H194" s="139"/>
      <c r="I194" s="139"/>
      <c r="J194" s="139"/>
      <c r="K194" s="140"/>
      <c r="L194" s="139"/>
      <c r="M194" s="139"/>
      <c r="N194" s="139"/>
      <c r="O194" s="139"/>
      <c r="P194" s="139"/>
      <c r="Q194" s="139"/>
      <c r="R194" s="139"/>
      <c r="S194" s="141"/>
    </row>
    <row r="195" spans="1:19" s="39" customFormat="1" ht="13.5" hidden="1" thickBot="1">
      <c r="A195" s="142"/>
      <c r="B195" s="139"/>
      <c r="C195" s="139"/>
      <c r="D195" s="139"/>
      <c r="E195" s="139"/>
      <c r="F195" s="139"/>
      <c r="G195" s="139"/>
      <c r="H195" s="139"/>
      <c r="I195" s="139"/>
      <c r="J195" s="139"/>
      <c r="K195" s="140"/>
      <c r="L195" s="139"/>
      <c r="M195" s="139"/>
      <c r="N195" s="139"/>
      <c r="O195" s="139"/>
      <c r="P195" s="139"/>
      <c r="Q195" s="139"/>
      <c r="R195" s="139"/>
      <c r="S195" s="141"/>
    </row>
    <row r="196" spans="1:19" s="39" customFormat="1" ht="51.75" hidden="1" thickBot="1">
      <c r="A196" s="99" t="s">
        <v>1</v>
      </c>
      <c r="B196" s="99" t="s">
        <v>2</v>
      </c>
      <c r="C196" s="99" t="s">
        <v>8</v>
      </c>
      <c r="D196" s="99" t="s">
        <v>3</v>
      </c>
      <c r="E196" s="99" t="s">
        <v>4</v>
      </c>
      <c r="F196" s="99" t="s">
        <v>5</v>
      </c>
      <c r="G196" s="99" t="s">
        <v>64</v>
      </c>
      <c r="H196" s="99" t="s">
        <v>117</v>
      </c>
      <c r="I196" s="99" t="s">
        <v>99</v>
      </c>
      <c r="J196" s="99" t="s">
        <v>65</v>
      </c>
      <c r="K196" s="100" t="s">
        <v>66</v>
      </c>
      <c r="L196" s="99" t="s">
        <v>67</v>
      </c>
      <c r="M196" s="99" t="s">
        <v>6</v>
      </c>
      <c r="N196" s="99" t="s">
        <v>54</v>
      </c>
      <c r="O196" s="99" t="s">
        <v>7</v>
      </c>
      <c r="P196" s="99" t="s">
        <v>48</v>
      </c>
      <c r="Q196" s="99" t="s">
        <v>49</v>
      </c>
      <c r="R196" s="99" t="s">
        <v>50</v>
      </c>
      <c r="S196" s="99" t="s">
        <v>51</v>
      </c>
    </row>
    <row r="197" spans="1:19" s="39" customFormat="1" ht="12.75" hidden="1">
      <c r="A197" s="101">
        <v>1</v>
      </c>
      <c r="B197" s="102">
        <v>2</v>
      </c>
      <c r="C197" s="102">
        <v>3</v>
      </c>
      <c r="D197" s="102">
        <v>4</v>
      </c>
      <c r="E197" s="102">
        <v>5</v>
      </c>
      <c r="F197" s="102">
        <v>6</v>
      </c>
      <c r="G197" s="102">
        <v>7</v>
      </c>
      <c r="H197" s="102">
        <v>8</v>
      </c>
      <c r="I197" s="102">
        <v>9</v>
      </c>
      <c r="J197" s="102">
        <v>10</v>
      </c>
      <c r="K197" s="104">
        <v>11</v>
      </c>
      <c r="L197" s="102">
        <v>12</v>
      </c>
      <c r="M197" s="102">
        <v>13</v>
      </c>
      <c r="N197" s="102">
        <v>14</v>
      </c>
      <c r="O197" s="102">
        <v>15</v>
      </c>
      <c r="P197" s="102">
        <v>16</v>
      </c>
      <c r="Q197" s="102">
        <v>17</v>
      </c>
      <c r="R197" s="102">
        <v>18</v>
      </c>
      <c r="S197" s="105">
        <v>19</v>
      </c>
    </row>
    <row r="198" spans="1:19" s="39" customFormat="1" ht="12.75" hidden="1">
      <c r="A198" s="69">
        <v>1</v>
      </c>
      <c r="B198" s="70" t="s">
        <v>118</v>
      </c>
      <c r="C198" s="71" t="s">
        <v>52</v>
      </c>
      <c r="D198" s="72" t="e">
        <f>B$194</f>
        <v>#REF!</v>
      </c>
      <c r="E198" s="71"/>
      <c r="F198" s="71">
        <f aca="true" t="shared" si="100" ref="F198:F207">ROUND(O198/18/4,2)</f>
        <v>0</v>
      </c>
      <c r="G198" s="71">
        <v>7570</v>
      </c>
      <c r="H198" s="73">
        <v>0.15</v>
      </c>
      <c r="I198" s="73">
        <v>0</v>
      </c>
      <c r="J198" s="71"/>
      <c r="K198" s="74">
        <f>(G198+G198*(H198+I198))*J198</f>
        <v>0</v>
      </c>
      <c r="L198" s="71">
        <f aca="true" t="shared" si="101" ref="L198:L207">18*25*4</f>
        <v>1800</v>
      </c>
      <c r="M198" s="71">
        <f>N198*O198</f>
        <v>0</v>
      </c>
      <c r="N198" s="71"/>
      <c r="O198" s="71"/>
      <c r="P198" s="75">
        <f>ROUND(K198/L198,2)</f>
        <v>0</v>
      </c>
      <c r="Q198" s="74">
        <f>N198*O198*P198</f>
        <v>0</v>
      </c>
      <c r="R198" s="74">
        <f>Q198*0.15</f>
        <v>0</v>
      </c>
      <c r="S198" s="76">
        <f>Q198+R198</f>
        <v>0</v>
      </c>
    </row>
    <row r="199" spans="1:19" s="39" customFormat="1" ht="12.75" hidden="1">
      <c r="A199" s="69">
        <v>2</v>
      </c>
      <c r="B199" s="70"/>
      <c r="C199" s="71" t="s">
        <v>52</v>
      </c>
      <c r="D199" s="72" t="e">
        <f aca="true" t="shared" si="102" ref="D199:D207">B$194</f>
        <v>#REF!</v>
      </c>
      <c r="E199" s="71"/>
      <c r="F199" s="71">
        <f t="shared" si="100"/>
        <v>0</v>
      </c>
      <c r="G199" s="71">
        <v>7570</v>
      </c>
      <c r="H199" s="73">
        <f>H$24</f>
        <v>0</v>
      </c>
      <c r="I199" s="73">
        <v>0</v>
      </c>
      <c r="J199" s="71"/>
      <c r="K199" s="74">
        <f aca="true" t="shared" si="103" ref="K199:K207">(G199+G199*(H199+I199))*J199</f>
        <v>0</v>
      </c>
      <c r="L199" s="71">
        <f t="shared" si="101"/>
        <v>1800</v>
      </c>
      <c r="M199" s="71">
        <f aca="true" t="shared" si="104" ref="M199:M207">N199*O199</f>
        <v>0</v>
      </c>
      <c r="N199" s="71"/>
      <c r="O199" s="71"/>
      <c r="P199" s="75">
        <f aca="true" t="shared" si="105" ref="P199:P207">ROUND(K199/L199,2)</f>
        <v>0</v>
      </c>
      <c r="Q199" s="74">
        <f aca="true" t="shared" si="106" ref="Q199:Q207">N199*O199*P199</f>
        <v>0</v>
      </c>
      <c r="R199" s="74">
        <f aca="true" t="shared" si="107" ref="R199:R207">Q199*0.15</f>
        <v>0</v>
      </c>
      <c r="S199" s="76">
        <f aca="true" t="shared" si="108" ref="S199:S207">Q199+R199</f>
        <v>0</v>
      </c>
    </row>
    <row r="200" spans="1:19" s="39" customFormat="1" ht="12.75" hidden="1">
      <c r="A200" s="69">
        <v>3</v>
      </c>
      <c r="B200" s="70"/>
      <c r="C200" s="71" t="s">
        <v>52</v>
      </c>
      <c r="D200" s="72" t="e">
        <f t="shared" si="102"/>
        <v>#REF!</v>
      </c>
      <c r="E200" s="71"/>
      <c r="F200" s="71">
        <f t="shared" si="100"/>
        <v>0</v>
      </c>
      <c r="G200" s="71">
        <v>7570</v>
      </c>
      <c r="H200" s="73">
        <f aca="true" t="shared" si="109" ref="H200:H207">H$24</f>
        <v>0</v>
      </c>
      <c r="I200" s="73"/>
      <c r="J200" s="71"/>
      <c r="K200" s="74">
        <f t="shared" si="103"/>
        <v>0</v>
      </c>
      <c r="L200" s="71">
        <f t="shared" si="101"/>
        <v>1800</v>
      </c>
      <c r="M200" s="71">
        <f t="shared" si="104"/>
        <v>0</v>
      </c>
      <c r="N200" s="71"/>
      <c r="O200" s="71"/>
      <c r="P200" s="75">
        <f t="shared" si="105"/>
        <v>0</v>
      </c>
      <c r="Q200" s="74">
        <f t="shared" si="106"/>
        <v>0</v>
      </c>
      <c r="R200" s="74">
        <f t="shared" si="107"/>
        <v>0</v>
      </c>
      <c r="S200" s="76">
        <f t="shared" si="108"/>
        <v>0</v>
      </c>
    </row>
    <row r="201" spans="1:19" s="39" customFormat="1" ht="12.75" hidden="1">
      <c r="A201" s="69">
        <v>4</v>
      </c>
      <c r="B201" s="70"/>
      <c r="C201" s="71" t="s">
        <v>52</v>
      </c>
      <c r="D201" s="72" t="e">
        <f t="shared" si="102"/>
        <v>#REF!</v>
      </c>
      <c r="E201" s="71"/>
      <c r="F201" s="71">
        <f t="shared" si="100"/>
        <v>0</v>
      </c>
      <c r="G201" s="71">
        <v>7570</v>
      </c>
      <c r="H201" s="73">
        <f t="shared" si="109"/>
        <v>0</v>
      </c>
      <c r="I201" s="73"/>
      <c r="J201" s="71"/>
      <c r="K201" s="74">
        <f t="shared" si="103"/>
        <v>0</v>
      </c>
      <c r="L201" s="71">
        <f t="shared" si="101"/>
        <v>1800</v>
      </c>
      <c r="M201" s="71">
        <f t="shared" si="104"/>
        <v>0</v>
      </c>
      <c r="N201" s="71"/>
      <c r="O201" s="71"/>
      <c r="P201" s="75">
        <f t="shared" si="105"/>
        <v>0</v>
      </c>
      <c r="Q201" s="74">
        <f t="shared" si="106"/>
        <v>0</v>
      </c>
      <c r="R201" s="74">
        <f t="shared" si="107"/>
        <v>0</v>
      </c>
      <c r="S201" s="76">
        <f t="shared" si="108"/>
        <v>0</v>
      </c>
    </row>
    <row r="202" spans="1:19" s="39" customFormat="1" ht="12.75" hidden="1">
      <c r="A202" s="69">
        <v>5</v>
      </c>
      <c r="B202" s="70"/>
      <c r="C202" s="71" t="s">
        <v>52</v>
      </c>
      <c r="D202" s="72" t="e">
        <f t="shared" si="102"/>
        <v>#REF!</v>
      </c>
      <c r="E202" s="71"/>
      <c r="F202" s="71">
        <f t="shared" si="100"/>
        <v>0</v>
      </c>
      <c r="G202" s="71">
        <v>7570</v>
      </c>
      <c r="H202" s="73">
        <f t="shared" si="109"/>
        <v>0</v>
      </c>
      <c r="I202" s="73"/>
      <c r="J202" s="71"/>
      <c r="K202" s="74">
        <f t="shared" si="103"/>
        <v>0</v>
      </c>
      <c r="L202" s="71">
        <f t="shared" si="101"/>
        <v>1800</v>
      </c>
      <c r="M202" s="71">
        <f t="shared" si="104"/>
        <v>0</v>
      </c>
      <c r="N202" s="71"/>
      <c r="O202" s="71"/>
      <c r="P202" s="75">
        <f t="shared" si="105"/>
        <v>0</v>
      </c>
      <c r="Q202" s="74">
        <f t="shared" si="106"/>
        <v>0</v>
      </c>
      <c r="R202" s="74">
        <f t="shared" si="107"/>
        <v>0</v>
      </c>
      <c r="S202" s="76">
        <f t="shared" si="108"/>
        <v>0</v>
      </c>
    </row>
    <row r="203" spans="1:19" s="39" customFormat="1" ht="12.75" hidden="1">
      <c r="A203" s="69">
        <v>6</v>
      </c>
      <c r="B203" s="70"/>
      <c r="C203" s="71" t="s">
        <v>52</v>
      </c>
      <c r="D203" s="72" t="e">
        <f t="shared" si="102"/>
        <v>#REF!</v>
      </c>
      <c r="E203" s="71"/>
      <c r="F203" s="71">
        <f t="shared" si="100"/>
        <v>0</v>
      </c>
      <c r="G203" s="71">
        <v>7570</v>
      </c>
      <c r="H203" s="73">
        <f t="shared" si="109"/>
        <v>0</v>
      </c>
      <c r="I203" s="73"/>
      <c r="J203" s="71"/>
      <c r="K203" s="74">
        <f t="shared" si="103"/>
        <v>0</v>
      </c>
      <c r="L203" s="71">
        <f t="shared" si="101"/>
        <v>1800</v>
      </c>
      <c r="M203" s="71">
        <f t="shared" si="104"/>
        <v>0</v>
      </c>
      <c r="N203" s="71"/>
      <c r="O203" s="71"/>
      <c r="P203" s="75">
        <f t="shared" si="105"/>
        <v>0</v>
      </c>
      <c r="Q203" s="74">
        <f t="shared" si="106"/>
        <v>0</v>
      </c>
      <c r="R203" s="74">
        <f t="shared" si="107"/>
        <v>0</v>
      </c>
      <c r="S203" s="76">
        <f t="shared" si="108"/>
        <v>0</v>
      </c>
    </row>
    <row r="204" spans="1:19" s="39" customFormat="1" ht="12.75" hidden="1">
      <c r="A204" s="69">
        <v>7</v>
      </c>
      <c r="B204" s="70"/>
      <c r="C204" s="71" t="s">
        <v>52</v>
      </c>
      <c r="D204" s="72" t="e">
        <f t="shared" si="102"/>
        <v>#REF!</v>
      </c>
      <c r="E204" s="71"/>
      <c r="F204" s="71">
        <f t="shared" si="100"/>
        <v>0</v>
      </c>
      <c r="G204" s="71">
        <v>7570</v>
      </c>
      <c r="H204" s="73">
        <f t="shared" si="109"/>
        <v>0</v>
      </c>
      <c r="I204" s="73"/>
      <c r="J204" s="71"/>
      <c r="K204" s="74">
        <f t="shared" si="103"/>
        <v>0</v>
      </c>
      <c r="L204" s="71">
        <f t="shared" si="101"/>
        <v>1800</v>
      </c>
      <c r="M204" s="71">
        <f t="shared" si="104"/>
        <v>0</v>
      </c>
      <c r="N204" s="71"/>
      <c r="O204" s="71"/>
      <c r="P204" s="75">
        <f t="shared" si="105"/>
        <v>0</v>
      </c>
      <c r="Q204" s="74">
        <f t="shared" si="106"/>
        <v>0</v>
      </c>
      <c r="R204" s="74">
        <f t="shared" si="107"/>
        <v>0</v>
      </c>
      <c r="S204" s="76">
        <f t="shared" si="108"/>
        <v>0</v>
      </c>
    </row>
    <row r="205" spans="1:19" s="39" customFormat="1" ht="12.75" hidden="1">
      <c r="A205" s="69">
        <v>8</v>
      </c>
      <c r="B205" s="70"/>
      <c r="C205" s="71" t="s">
        <v>52</v>
      </c>
      <c r="D205" s="72" t="e">
        <f t="shared" si="102"/>
        <v>#REF!</v>
      </c>
      <c r="E205" s="71"/>
      <c r="F205" s="71">
        <f t="shared" si="100"/>
        <v>0</v>
      </c>
      <c r="G205" s="71">
        <v>7570</v>
      </c>
      <c r="H205" s="73">
        <f t="shared" si="109"/>
        <v>0</v>
      </c>
      <c r="I205" s="73"/>
      <c r="J205" s="71"/>
      <c r="K205" s="74">
        <f t="shared" si="103"/>
        <v>0</v>
      </c>
      <c r="L205" s="71">
        <f t="shared" si="101"/>
        <v>1800</v>
      </c>
      <c r="M205" s="71">
        <f t="shared" si="104"/>
        <v>0</v>
      </c>
      <c r="N205" s="71"/>
      <c r="O205" s="71"/>
      <c r="P205" s="75">
        <f t="shared" si="105"/>
        <v>0</v>
      </c>
      <c r="Q205" s="74">
        <f t="shared" si="106"/>
        <v>0</v>
      </c>
      <c r="R205" s="74">
        <f t="shared" si="107"/>
        <v>0</v>
      </c>
      <c r="S205" s="76">
        <f t="shared" si="108"/>
        <v>0</v>
      </c>
    </row>
    <row r="206" spans="1:19" s="39" customFormat="1" ht="12.75" hidden="1">
      <c r="A206" s="69">
        <v>9</v>
      </c>
      <c r="B206" s="70"/>
      <c r="C206" s="71" t="s">
        <v>52</v>
      </c>
      <c r="D206" s="72" t="e">
        <f t="shared" si="102"/>
        <v>#REF!</v>
      </c>
      <c r="E206" s="71"/>
      <c r="F206" s="71">
        <f t="shared" si="100"/>
        <v>0</v>
      </c>
      <c r="G206" s="71">
        <v>7570</v>
      </c>
      <c r="H206" s="73">
        <f t="shared" si="109"/>
        <v>0</v>
      </c>
      <c r="I206" s="73"/>
      <c r="J206" s="71"/>
      <c r="K206" s="74">
        <f t="shared" si="103"/>
        <v>0</v>
      </c>
      <c r="L206" s="71">
        <f t="shared" si="101"/>
        <v>1800</v>
      </c>
      <c r="M206" s="71">
        <f t="shared" si="104"/>
        <v>0</v>
      </c>
      <c r="N206" s="71"/>
      <c r="O206" s="71"/>
      <c r="P206" s="75">
        <f t="shared" si="105"/>
        <v>0</v>
      </c>
      <c r="Q206" s="74">
        <f t="shared" si="106"/>
        <v>0</v>
      </c>
      <c r="R206" s="74">
        <f t="shared" si="107"/>
        <v>0</v>
      </c>
      <c r="S206" s="76">
        <f t="shared" si="108"/>
        <v>0</v>
      </c>
    </row>
    <row r="207" spans="1:19" s="39" customFormat="1" ht="12.75" hidden="1">
      <c r="A207" s="69">
        <v>10</v>
      </c>
      <c r="B207" s="70"/>
      <c r="C207" s="71" t="s">
        <v>52</v>
      </c>
      <c r="D207" s="72" t="e">
        <f t="shared" si="102"/>
        <v>#REF!</v>
      </c>
      <c r="E207" s="71"/>
      <c r="F207" s="71">
        <f t="shared" si="100"/>
        <v>0</v>
      </c>
      <c r="G207" s="71">
        <v>7570</v>
      </c>
      <c r="H207" s="73">
        <f t="shared" si="109"/>
        <v>0</v>
      </c>
      <c r="I207" s="73"/>
      <c r="J207" s="71"/>
      <c r="K207" s="74">
        <f t="shared" si="103"/>
        <v>0</v>
      </c>
      <c r="L207" s="71">
        <f t="shared" si="101"/>
        <v>1800</v>
      </c>
      <c r="M207" s="71">
        <f t="shared" si="104"/>
        <v>0</v>
      </c>
      <c r="N207" s="71"/>
      <c r="O207" s="71"/>
      <c r="P207" s="75">
        <f t="shared" si="105"/>
        <v>0</v>
      </c>
      <c r="Q207" s="74">
        <f t="shared" si="106"/>
        <v>0</v>
      </c>
      <c r="R207" s="74">
        <f t="shared" si="107"/>
        <v>0</v>
      </c>
      <c r="S207" s="76">
        <f t="shared" si="108"/>
        <v>0</v>
      </c>
    </row>
    <row r="208" spans="1:19" s="39" customFormat="1" ht="13.5" hidden="1" thickBot="1">
      <c r="A208" s="113"/>
      <c r="B208" s="114"/>
      <c r="C208" s="114"/>
      <c r="D208" s="114" t="s">
        <v>53</v>
      </c>
      <c r="E208" s="114"/>
      <c r="F208" s="115">
        <f>SUM(F198:F207)</f>
        <v>0</v>
      </c>
      <c r="G208" s="114"/>
      <c r="H208" s="114"/>
      <c r="I208" s="114"/>
      <c r="J208" s="114"/>
      <c r="K208" s="116"/>
      <c r="L208" s="114"/>
      <c r="M208" s="117">
        <f>SUM(M198:M207)</f>
        <v>0</v>
      </c>
      <c r="N208" s="117">
        <f>SUM(N198:N207)</f>
        <v>0</v>
      </c>
      <c r="O208" s="117">
        <f>SUM(O198:O207)</f>
        <v>0</v>
      </c>
      <c r="P208" s="114"/>
      <c r="Q208" s="115">
        <f>SUM(Q198:Q207)</f>
        <v>0</v>
      </c>
      <c r="R208" s="115">
        <f>SUM(R198:R207)</f>
        <v>0</v>
      </c>
      <c r="S208" s="143">
        <f>SUM(S198:S207)</f>
        <v>0</v>
      </c>
    </row>
    <row r="209" spans="1:19" s="39" customFormat="1" ht="12.75" hidden="1">
      <c r="A209" s="118"/>
      <c r="B209" s="92"/>
      <c r="C209" s="92"/>
      <c r="D209" s="92"/>
      <c r="E209" s="92"/>
      <c r="F209" s="93"/>
      <c r="G209" s="92"/>
      <c r="H209" s="92"/>
      <c r="I209" s="92"/>
      <c r="J209" s="92"/>
      <c r="K209" s="94"/>
      <c r="L209" s="92"/>
      <c r="M209" s="95"/>
      <c r="N209" s="95" t="e">
        <f>доходы!#REF!</f>
        <v>#REF!</v>
      </c>
      <c r="O209" s="96" t="s">
        <v>116</v>
      </c>
      <c r="P209" s="119"/>
      <c r="Q209" s="120"/>
      <c r="R209" s="121"/>
      <c r="S209" s="136"/>
    </row>
    <row r="210" spans="1:19" s="39" customFormat="1" ht="12.75" hidden="1">
      <c r="A210" s="137" t="s">
        <v>126</v>
      </c>
      <c r="B210" s="138">
        <f>доходы!B23</f>
        <v>0</v>
      </c>
      <c r="C210" s="92"/>
      <c r="D210" s="92"/>
      <c r="E210" s="92"/>
      <c r="F210" s="139"/>
      <c r="G210" s="139"/>
      <c r="H210" s="139"/>
      <c r="I210" s="139"/>
      <c r="J210" s="139"/>
      <c r="K210" s="140"/>
      <c r="L210" s="139"/>
      <c r="M210" s="139"/>
      <c r="N210" s="139"/>
      <c r="O210" s="139"/>
      <c r="P210" s="139"/>
      <c r="Q210" s="139"/>
      <c r="R210" s="139"/>
      <c r="S210" s="141"/>
    </row>
    <row r="211" spans="1:19" s="39" customFormat="1" ht="13.5" hidden="1" thickBot="1">
      <c r="A211" s="142"/>
      <c r="B211" s="139"/>
      <c r="C211" s="139"/>
      <c r="D211" s="139"/>
      <c r="E211" s="139"/>
      <c r="F211" s="139"/>
      <c r="G211" s="139"/>
      <c r="H211" s="139"/>
      <c r="I211" s="139"/>
      <c r="J211" s="139"/>
      <c r="K211" s="140"/>
      <c r="L211" s="139"/>
      <c r="M211" s="139"/>
      <c r="N211" s="139"/>
      <c r="O211" s="139"/>
      <c r="P211" s="139"/>
      <c r="Q211" s="139"/>
      <c r="R211" s="139"/>
      <c r="S211" s="141"/>
    </row>
    <row r="212" spans="1:19" s="39" customFormat="1" ht="51.75" hidden="1" thickBot="1">
      <c r="A212" s="99" t="s">
        <v>1</v>
      </c>
      <c r="B212" s="99" t="s">
        <v>2</v>
      </c>
      <c r="C212" s="99" t="s">
        <v>8</v>
      </c>
      <c r="D212" s="99" t="s">
        <v>3</v>
      </c>
      <c r="E212" s="99" t="s">
        <v>4</v>
      </c>
      <c r="F212" s="99" t="s">
        <v>5</v>
      </c>
      <c r="G212" s="99" t="s">
        <v>64</v>
      </c>
      <c r="H212" s="99" t="s">
        <v>117</v>
      </c>
      <c r="I212" s="99" t="s">
        <v>99</v>
      </c>
      <c r="J212" s="99" t="s">
        <v>65</v>
      </c>
      <c r="K212" s="100" t="s">
        <v>66</v>
      </c>
      <c r="L212" s="99" t="s">
        <v>67</v>
      </c>
      <c r="M212" s="99" t="s">
        <v>6</v>
      </c>
      <c r="N212" s="99" t="s">
        <v>54</v>
      </c>
      <c r="O212" s="99" t="s">
        <v>7</v>
      </c>
      <c r="P212" s="99" t="s">
        <v>48</v>
      </c>
      <c r="Q212" s="99" t="s">
        <v>49</v>
      </c>
      <c r="R212" s="99" t="s">
        <v>50</v>
      </c>
      <c r="S212" s="99" t="s">
        <v>51</v>
      </c>
    </row>
    <row r="213" spans="1:19" s="39" customFormat="1" ht="12.75" hidden="1">
      <c r="A213" s="101">
        <v>1</v>
      </c>
      <c r="B213" s="102">
        <v>2</v>
      </c>
      <c r="C213" s="102">
        <v>3</v>
      </c>
      <c r="D213" s="102">
        <v>4</v>
      </c>
      <c r="E213" s="102">
        <v>5</v>
      </c>
      <c r="F213" s="102">
        <v>6</v>
      </c>
      <c r="G213" s="102">
        <v>7</v>
      </c>
      <c r="H213" s="102">
        <v>8</v>
      </c>
      <c r="I213" s="102">
        <v>9</v>
      </c>
      <c r="J213" s="102">
        <v>10</v>
      </c>
      <c r="K213" s="104">
        <v>11</v>
      </c>
      <c r="L213" s="102">
        <v>12</v>
      </c>
      <c r="M213" s="102">
        <v>13</v>
      </c>
      <c r="N213" s="102">
        <v>14</v>
      </c>
      <c r="O213" s="102">
        <v>15</v>
      </c>
      <c r="P213" s="102">
        <v>16</v>
      </c>
      <c r="Q213" s="102">
        <v>17</v>
      </c>
      <c r="R213" s="102">
        <v>18</v>
      </c>
      <c r="S213" s="105">
        <v>19</v>
      </c>
    </row>
    <row r="214" spans="1:19" s="39" customFormat="1" ht="12.75" hidden="1">
      <c r="A214" s="69">
        <v>1</v>
      </c>
      <c r="B214" s="70" t="s">
        <v>118</v>
      </c>
      <c r="C214" s="71" t="s">
        <v>52</v>
      </c>
      <c r="D214" s="72">
        <f>B$210</f>
        <v>0</v>
      </c>
      <c r="E214" s="71"/>
      <c r="F214" s="71">
        <f aca="true" t="shared" si="110" ref="F214:F223">ROUND(O214/18/4,2)</f>
        <v>0</v>
      </c>
      <c r="G214" s="71">
        <v>7570</v>
      </c>
      <c r="H214" s="73">
        <v>0.15</v>
      </c>
      <c r="I214" s="73">
        <v>0</v>
      </c>
      <c r="J214" s="71"/>
      <c r="K214" s="74">
        <f>(G214+G214*(H214+I214))*J214</f>
        <v>0</v>
      </c>
      <c r="L214" s="71">
        <f aca="true" t="shared" si="111" ref="L214:L223">18*25*4</f>
        <v>1800</v>
      </c>
      <c r="M214" s="71">
        <f>N214*O214</f>
        <v>0</v>
      </c>
      <c r="N214" s="71"/>
      <c r="O214" s="71"/>
      <c r="P214" s="75">
        <f>ROUND(K214/L214,2)</f>
        <v>0</v>
      </c>
      <c r="Q214" s="74">
        <f>N214*O214*P214</f>
        <v>0</v>
      </c>
      <c r="R214" s="74">
        <f>Q214*0.15</f>
        <v>0</v>
      </c>
      <c r="S214" s="76">
        <f>Q214+R214</f>
        <v>0</v>
      </c>
    </row>
    <row r="215" spans="1:19" s="39" customFormat="1" ht="12.75" hidden="1">
      <c r="A215" s="69">
        <v>2</v>
      </c>
      <c r="B215" s="70"/>
      <c r="C215" s="71" t="s">
        <v>52</v>
      </c>
      <c r="D215" s="72">
        <f aca="true" t="shared" si="112" ref="D215:D223">B$210</f>
        <v>0</v>
      </c>
      <c r="E215" s="71"/>
      <c r="F215" s="71">
        <f t="shared" si="110"/>
        <v>0</v>
      </c>
      <c r="G215" s="71">
        <v>7570</v>
      </c>
      <c r="H215" s="73">
        <f>H$24</f>
        <v>0</v>
      </c>
      <c r="I215" s="73">
        <v>0</v>
      </c>
      <c r="J215" s="71"/>
      <c r="K215" s="74">
        <f aca="true" t="shared" si="113" ref="K215:K223">(G215+G215*(H215+I215))*J215</f>
        <v>0</v>
      </c>
      <c r="L215" s="71">
        <f t="shared" si="111"/>
        <v>1800</v>
      </c>
      <c r="M215" s="71">
        <f aca="true" t="shared" si="114" ref="M215:M223">N215*O215</f>
        <v>0</v>
      </c>
      <c r="N215" s="71"/>
      <c r="O215" s="71"/>
      <c r="P215" s="75">
        <f aca="true" t="shared" si="115" ref="P215:P223">ROUND(K215/L215,2)</f>
        <v>0</v>
      </c>
      <c r="Q215" s="74">
        <f aca="true" t="shared" si="116" ref="Q215:Q223">N215*O215*P215</f>
        <v>0</v>
      </c>
      <c r="R215" s="74">
        <f aca="true" t="shared" si="117" ref="R215:R223">Q215*0.15</f>
        <v>0</v>
      </c>
      <c r="S215" s="76">
        <f aca="true" t="shared" si="118" ref="S215:S223">Q215+R215</f>
        <v>0</v>
      </c>
    </row>
    <row r="216" spans="1:19" s="39" customFormat="1" ht="12.75" hidden="1">
      <c r="A216" s="69">
        <v>3</v>
      </c>
      <c r="B216" s="70"/>
      <c r="C216" s="71" t="s">
        <v>52</v>
      </c>
      <c r="D216" s="72">
        <f t="shared" si="112"/>
        <v>0</v>
      </c>
      <c r="E216" s="71"/>
      <c r="F216" s="71">
        <f t="shared" si="110"/>
        <v>0</v>
      </c>
      <c r="G216" s="71">
        <v>7570</v>
      </c>
      <c r="H216" s="73">
        <f aca="true" t="shared" si="119" ref="H216:H223">H$24</f>
        <v>0</v>
      </c>
      <c r="I216" s="73"/>
      <c r="J216" s="71"/>
      <c r="K216" s="74">
        <f t="shared" si="113"/>
        <v>0</v>
      </c>
      <c r="L216" s="71">
        <f t="shared" si="111"/>
        <v>1800</v>
      </c>
      <c r="M216" s="71">
        <f t="shared" si="114"/>
        <v>0</v>
      </c>
      <c r="N216" s="71"/>
      <c r="O216" s="71"/>
      <c r="P216" s="75">
        <f t="shared" si="115"/>
        <v>0</v>
      </c>
      <c r="Q216" s="74">
        <f t="shared" si="116"/>
        <v>0</v>
      </c>
      <c r="R216" s="74">
        <f t="shared" si="117"/>
        <v>0</v>
      </c>
      <c r="S216" s="76">
        <f t="shared" si="118"/>
        <v>0</v>
      </c>
    </row>
    <row r="217" spans="1:19" s="39" customFormat="1" ht="12.75" hidden="1">
      <c r="A217" s="69">
        <v>4</v>
      </c>
      <c r="B217" s="70"/>
      <c r="C217" s="71" t="s">
        <v>52</v>
      </c>
      <c r="D217" s="72">
        <f t="shared" si="112"/>
        <v>0</v>
      </c>
      <c r="E217" s="71"/>
      <c r="F217" s="71">
        <f t="shared" si="110"/>
        <v>0</v>
      </c>
      <c r="G217" s="71">
        <v>7570</v>
      </c>
      <c r="H217" s="73">
        <f t="shared" si="119"/>
        <v>0</v>
      </c>
      <c r="I217" s="73"/>
      <c r="J217" s="71"/>
      <c r="K217" s="74">
        <f t="shared" si="113"/>
        <v>0</v>
      </c>
      <c r="L217" s="71">
        <f t="shared" si="111"/>
        <v>1800</v>
      </c>
      <c r="M217" s="71">
        <f t="shared" si="114"/>
        <v>0</v>
      </c>
      <c r="N217" s="71"/>
      <c r="O217" s="71"/>
      <c r="P217" s="75">
        <f t="shared" si="115"/>
        <v>0</v>
      </c>
      <c r="Q217" s="74">
        <f t="shared" si="116"/>
        <v>0</v>
      </c>
      <c r="R217" s="74">
        <f t="shared" si="117"/>
        <v>0</v>
      </c>
      <c r="S217" s="76">
        <f t="shared" si="118"/>
        <v>0</v>
      </c>
    </row>
    <row r="218" spans="1:19" s="39" customFormat="1" ht="12.75" hidden="1">
      <c r="A218" s="69">
        <v>5</v>
      </c>
      <c r="B218" s="70"/>
      <c r="C218" s="71" t="s">
        <v>52</v>
      </c>
      <c r="D218" s="72">
        <f t="shared" si="112"/>
        <v>0</v>
      </c>
      <c r="E218" s="71"/>
      <c r="F218" s="71">
        <f t="shared" si="110"/>
        <v>0</v>
      </c>
      <c r="G218" s="71">
        <v>7570</v>
      </c>
      <c r="H218" s="73">
        <f t="shared" si="119"/>
        <v>0</v>
      </c>
      <c r="I218" s="73"/>
      <c r="J218" s="71"/>
      <c r="K218" s="74">
        <f t="shared" si="113"/>
        <v>0</v>
      </c>
      <c r="L218" s="71">
        <f t="shared" si="111"/>
        <v>1800</v>
      </c>
      <c r="M218" s="71">
        <f t="shared" si="114"/>
        <v>0</v>
      </c>
      <c r="N218" s="71"/>
      <c r="O218" s="71"/>
      <c r="P218" s="75">
        <f t="shared" si="115"/>
        <v>0</v>
      </c>
      <c r="Q218" s="74">
        <f t="shared" si="116"/>
        <v>0</v>
      </c>
      <c r="R218" s="74">
        <f t="shared" si="117"/>
        <v>0</v>
      </c>
      <c r="S218" s="76">
        <f t="shared" si="118"/>
        <v>0</v>
      </c>
    </row>
    <row r="219" spans="1:19" s="39" customFormat="1" ht="12.75" hidden="1">
      <c r="A219" s="69">
        <v>6</v>
      </c>
      <c r="B219" s="70"/>
      <c r="C219" s="71" t="s">
        <v>52</v>
      </c>
      <c r="D219" s="72">
        <f t="shared" si="112"/>
        <v>0</v>
      </c>
      <c r="E219" s="71"/>
      <c r="F219" s="71">
        <f t="shared" si="110"/>
        <v>0</v>
      </c>
      <c r="G219" s="71">
        <v>7570</v>
      </c>
      <c r="H219" s="73">
        <f t="shared" si="119"/>
        <v>0</v>
      </c>
      <c r="I219" s="73"/>
      <c r="J219" s="71"/>
      <c r="K219" s="74">
        <f t="shared" si="113"/>
        <v>0</v>
      </c>
      <c r="L219" s="71">
        <f t="shared" si="111"/>
        <v>1800</v>
      </c>
      <c r="M219" s="71">
        <f t="shared" si="114"/>
        <v>0</v>
      </c>
      <c r="N219" s="71"/>
      <c r="O219" s="71"/>
      <c r="P219" s="75">
        <f t="shared" si="115"/>
        <v>0</v>
      </c>
      <c r="Q219" s="74">
        <f t="shared" si="116"/>
        <v>0</v>
      </c>
      <c r="R219" s="74">
        <f t="shared" si="117"/>
        <v>0</v>
      </c>
      <c r="S219" s="76">
        <f t="shared" si="118"/>
        <v>0</v>
      </c>
    </row>
    <row r="220" spans="1:19" s="39" customFormat="1" ht="12.75" hidden="1">
      <c r="A220" s="69">
        <v>7</v>
      </c>
      <c r="B220" s="70"/>
      <c r="C220" s="71" t="s">
        <v>52</v>
      </c>
      <c r="D220" s="72">
        <f t="shared" si="112"/>
        <v>0</v>
      </c>
      <c r="E220" s="71"/>
      <c r="F220" s="71">
        <f t="shared" si="110"/>
        <v>0</v>
      </c>
      <c r="G220" s="71">
        <v>7570</v>
      </c>
      <c r="H220" s="73">
        <f t="shared" si="119"/>
        <v>0</v>
      </c>
      <c r="I220" s="73"/>
      <c r="J220" s="71"/>
      <c r="K220" s="74">
        <f t="shared" si="113"/>
        <v>0</v>
      </c>
      <c r="L220" s="71">
        <f t="shared" si="111"/>
        <v>1800</v>
      </c>
      <c r="M220" s="71">
        <f t="shared" si="114"/>
        <v>0</v>
      </c>
      <c r="N220" s="71"/>
      <c r="O220" s="71"/>
      <c r="P220" s="75">
        <f t="shared" si="115"/>
        <v>0</v>
      </c>
      <c r="Q220" s="74">
        <f t="shared" si="116"/>
        <v>0</v>
      </c>
      <c r="R220" s="74">
        <f t="shared" si="117"/>
        <v>0</v>
      </c>
      <c r="S220" s="76">
        <f t="shared" si="118"/>
        <v>0</v>
      </c>
    </row>
    <row r="221" spans="1:19" s="39" customFormat="1" ht="12.75" hidden="1">
      <c r="A221" s="69">
        <v>8</v>
      </c>
      <c r="B221" s="70"/>
      <c r="C221" s="71" t="s">
        <v>52</v>
      </c>
      <c r="D221" s="72">
        <f t="shared" si="112"/>
        <v>0</v>
      </c>
      <c r="E221" s="71"/>
      <c r="F221" s="71">
        <f t="shared" si="110"/>
        <v>0</v>
      </c>
      <c r="G221" s="71">
        <v>7570</v>
      </c>
      <c r="H221" s="73">
        <f t="shared" si="119"/>
        <v>0</v>
      </c>
      <c r="I221" s="73"/>
      <c r="J221" s="71"/>
      <c r="K221" s="74">
        <f t="shared" si="113"/>
        <v>0</v>
      </c>
      <c r="L221" s="71">
        <f t="shared" si="111"/>
        <v>1800</v>
      </c>
      <c r="M221" s="71">
        <f t="shared" si="114"/>
        <v>0</v>
      </c>
      <c r="N221" s="71"/>
      <c r="O221" s="71"/>
      <c r="P221" s="75">
        <f t="shared" si="115"/>
        <v>0</v>
      </c>
      <c r="Q221" s="74">
        <f t="shared" si="116"/>
        <v>0</v>
      </c>
      <c r="R221" s="74">
        <f t="shared" si="117"/>
        <v>0</v>
      </c>
      <c r="S221" s="76">
        <f t="shared" si="118"/>
        <v>0</v>
      </c>
    </row>
    <row r="222" spans="1:19" s="39" customFormat="1" ht="12.75" hidden="1">
      <c r="A222" s="69">
        <v>9</v>
      </c>
      <c r="B222" s="70"/>
      <c r="C222" s="71" t="s">
        <v>52</v>
      </c>
      <c r="D222" s="72">
        <f t="shared" si="112"/>
        <v>0</v>
      </c>
      <c r="E222" s="71"/>
      <c r="F222" s="71">
        <f t="shared" si="110"/>
        <v>0</v>
      </c>
      <c r="G222" s="71">
        <v>7570</v>
      </c>
      <c r="H222" s="73">
        <f t="shared" si="119"/>
        <v>0</v>
      </c>
      <c r="I222" s="73"/>
      <c r="J222" s="71"/>
      <c r="K222" s="74">
        <f t="shared" si="113"/>
        <v>0</v>
      </c>
      <c r="L222" s="71">
        <f t="shared" si="111"/>
        <v>1800</v>
      </c>
      <c r="M222" s="71">
        <f t="shared" si="114"/>
        <v>0</v>
      </c>
      <c r="N222" s="71"/>
      <c r="O222" s="71"/>
      <c r="P222" s="75">
        <f t="shared" si="115"/>
        <v>0</v>
      </c>
      <c r="Q222" s="74">
        <f t="shared" si="116"/>
        <v>0</v>
      </c>
      <c r="R222" s="74">
        <f t="shared" si="117"/>
        <v>0</v>
      </c>
      <c r="S222" s="76">
        <f t="shared" si="118"/>
        <v>0</v>
      </c>
    </row>
    <row r="223" spans="1:19" s="39" customFormat="1" ht="12.75" hidden="1">
      <c r="A223" s="69">
        <v>10</v>
      </c>
      <c r="B223" s="70"/>
      <c r="C223" s="71" t="s">
        <v>52</v>
      </c>
      <c r="D223" s="72">
        <f t="shared" si="112"/>
        <v>0</v>
      </c>
      <c r="E223" s="71"/>
      <c r="F223" s="71">
        <f t="shared" si="110"/>
        <v>0</v>
      </c>
      <c r="G223" s="71">
        <v>7570</v>
      </c>
      <c r="H223" s="73">
        <f t="shared" si="119"/>
        <v>0</v>
      </c>
      <c r="I223" s="73"/>
      <c r="J223" s="71"/>
      <c r="K223" s="74">
        <f t="shared" si="113"/>
        <v>0</v>
      </c>
      <c r="L223" s="71">
        <f t="shared" si="111"/>
        <v>1800</v>
      </c>
      <c r="M223" s="71">
        <f t="shared" si="114"/>
        <v>0</v>
      </c>
      <c r="N223" s="71"/>
      <c r="O223" s="71"/>
      <c r="P223" s="75">
        <f t="shared" si="115"/>
        <v>0</v>
      </c>
      <c r="Q223" s="74">
        <f t="shared" si="116"/>
        <v>0</v>
      </c>
      <c r="R223" s="74">
        <f t="shared" si="117"/>
        <v>0</v>
      </c>
      <c r="S223" s="76">
        <f t="shared" si="118"/>
        <v>0</v>
      </c>
    </row>
    <row r="224" spans="1:19" s="39" customFormat="1" ht="13.5" hidden="1" thickBot="1">
      <c r="A224" s="113"/>
      <c r="B224" s="114"/>
      <c r="C224" s="114"/>
      <c r="D224" s="114" t="s">
        <v>53</v>
      </c>
      <c r="E224" s="114"/>
      <c r="F224" s="115">
        <f>SUM(F214:F223)</f>
        <v>0</v>
      </c>
      <c r="G224" s="114"/>
      <c r="H224" s="114"/>
      <c r="I224" s="114"/>
      <c r="J224" s="114"/>
      <c r="K224" s="116"/>
      <c r="L224" s="114"/>
      <c r="M224" s="117">
        <f>SUM(M214:M223)</f>
        <v>0</v>
      </c>
      <c r="N224" s="117">
        <f>SUM(N214:N223)</f>
        <v>0</v>
      </c>
      <c r="O224" s="117">
        <f>SUM(O214:O223)</f>
        <v>0</v>
      </c>
      <c r="P224" s="114"/>
      <c r="Q224" s="115">
        <f>SUM(Q214:Q223)</f>
        <v>0</v>
      </c>
      <c r="R224" s="115">
        <f>SUM(R214:R223)</f>
        <v>0</v>
      </c>
      <c r="S224" s="143">
        <f>SUM(S214:S223)</f>
        <v>0</v>
      </c>
    </row>
    <row r="225" spans="1:19" s="39" customFormat="1" ht="12.75" hidden="1">
      <c r="A225" s="118"/>
      <c r="B225" s="92"/>
      <c r="C225" s="92"/>
      <c r="D225" s="92"/>
      <c r="E225" s="92"/>
      <c r="F225" s="93"/>
      <c r="G225" s="92"/>
      <c r="H225" s="92"/>
      <c r="I225" s="92"/>
      <c r="J225" s="92"/>
      <c r="K225" s="94"/>
      <c r="L225" s="92"/>
      <c r="M225" s="95"/>
      <c r="N225" s="95">
        <f>доходы!C23</f>
        <v>0</v>
      </c>
      <c r="O225" s="96" t="s">
        <v>116</v>
      </c>
      <c r="P225" s="119"/>
      <c r="Q225" s="120"/>
      <c r="R225" s="121"/>
      <c r="S225" s="136"/>
    </row>
    <row r="226" spans="1:19" s="39" customFormat="1" ht="12.75" hidden="1">
      <c r="A226" s="137" t="s">
        <v>127</v>
      </c>
      <c r="B226" s="138" t="str">
        <f>доходы!B24</f>
        <v>услуга 13</v>
      </c>
      <c r="C226" s="92"/>
      <c r="D226" s="92"/>
      <c r="E226" s="92"/>
      <c r="F226" s="139"/>
      <c r="G226" s="139"/>
      <c r="H226" s="139"/>
      <c r="I226" s="139"/>
      <c r="J226" s="139"/>
      <c r="K226" s="140"/>
      <c r="L226" s="139"/>
      <c r="M226" s="139"/>
      <c r="N226" s="139"/>
      <c r="O226" s="139"/>
      <c r="P226" s="139"/>
      <c r="Q226" s="139"/>
      <c r="R226" s="139"/>
      <c r="S226" s="141"/>
    </row>
    <row r="227" spans="1:19" s="39" customFormat="1" ht="13.5" hidden="1" thickBot="1">
      <c r="A227" s="142"/>
      <c r="B227" s="139"/>
      <c r="C227" s="139"/>
      <c r="D227" s="139"/>
      <c r="E227" s="139"/>
      <c r="F227" s="139"/>
      <c r="G227" s="139"/>
      <c r="H227" s="139"/>
      <c r="I227" s="139"/>
      <c r="J227" s="139"/>
      <c r="K227" s="140"/>
      <c r="L227" s="139"/>
      <c r="M227" s="139"/>
      <c r="N227" s="139"/>
      <c r="O227" s="139"/>
      <c r="P227" s="139"/>
      <c r="Q227" s="139"/>
      <c r="R227" s="139"/>
      <c r="S227" s="141"/>
    </row>
    <row r="228" spans="1:19" s="39" customFormat="1" ht="51.75" hidden="1" thickBot="1">
      <c r="A228" s="99" t="s">
        <v>1</v>
      </c>
      <c r="B228" s="99" t="s">
        <v>2</v>
      </c>
      <c r="C228" s="99" t="s">
        <v>8</v>
      </c>
      <c r="D228" s="99" t="s">
        <v>3</v>
      </c>
      <c r="E228" s="99" t="s">
        <v>4</v>
      </c>
      <c r="F228" s="99" t="s">
        <v>5</v>
      </c>
      <c r="G228" s="99" t="s">
        <v>64</v>
      </c>
      <c r="H228" s="99" t="s">
        <v>117</v>
      </c>
      <c r="I228" s="99" t="s">
        <v>99</v>
      </c>
      <c r="J228" s="99" t="s">
        <v>65</v>
      </c>
      <c r="K228" s="100" t="s">
        <v>66</v>
      </c>
      <c r="L228" s="99" t="s">
        <v>67</v>
      </c>
      <c r="M228" s="99" t="s">
        <v>6</v>
      </c>
      <c r="N228" s="99" t="s">
        <v>54</v>
      </c>
      <c r="O228" s="99" t="s">
        <v>7</v>
      </c>
      <c r="P228" s="99" t="s">
        <v>48</v>
      </c>
      <c r="Q228" s="99" t="s">
        <v>49</v>
      </c>
      <c r="R228" s="99" t="s">
        <v>50</v>
      </c>
      <c r="S228" s="99" t="s">
        <v>51</v>
      </c>
    </row>
    <row r="229" spans="1:19" s="39" customFormat="1" ht="12.75" hidden="1">
      <c r="A229" s="101">
        <v>1</v>
      </c>
      <c r="B229" s="102">
        <v>2</v>
      </c>
      <c r="C229" s="102">
        <v>3</v>
      </c>
      <c r="D229" s="102">
        <v>4</v>
      </c>
      <c r="E229" s="102">
        <v>5</v>
      </c>
      <c r="F229" s="102">
        <v>6</v>
      </c>
      <c r="G229" s="102">
        <v>7</v>
      </c>
      <c r="H229" s="102">
        <v>8</v>
      </c>
      <c r="I229" s="102">
        <v>9</v>
      </c>
      <c r="J229" s="102">
        <v>10</v>
      </c>
      <c r="K229" s="104">
        <v>11</v>
      </c>
      <c r="L229" s="102">
        <v>12</v>
      </c>
      <c r="M229" s="102">
        <v>13</v>
      </c>
      <c r="N229" s="102">
        <v>14</v>
      </c>
      <c r="O229" s="102">
        <v>15</v>
      </c>
      <c r="P229" s="102">
        <v>16</v>
      </c>
      <c r="Q229" s="102">
        <v>17</v>
      </c>
      <c r="R229" s="102">
        <v>18</v>
      </c>
      <c r="S229" s="105">
        <v>19</v>
      </c>
    </row>
    <row r="230" spans="1:19" s="39" customFormat="1" ht="12.75" hidden="1">
      <c r="A230" s="69">
        <v>1</v>
      </c>
      <c r="B230" s="70" t="s">
        <v>118</v>
      </c>
      <c r="C230" s="71" t="s">
        <v>52</v>
      </c>
      <c r="D230" s="72" t="str">
        <f>B$226</f>
        <v>услуга 13</v>
      </c>
      <c r="E230" s="71"/>
      <c r="F230" s="71">
        <f aca="true" t="shared" si="120" ref="F230:F239">ROUND(O230/18/4,2)</f>
        <v>0</v>
      </c>
      <c r="G230" s="71">
        <v>7570</v>
      </c>
      <c r="H230" s="73">
        <v>0.15</v>
      </c>
      <c r="I230" s="73">
        <v>0</v>
      </c>
      <c r="J230" s="71"/>
      <c r="K230" s="74">
        <f>(G230+G230*(H230+I230))*J230</f>
        <v>0</v>
      </c>
      <c r="L230" s="71">
        <f aca="true" t="shared" si="121" ref="L230:L239">18*25*4</f>
        <v>1800</v>
      </c>
      <c r="M230" s="71">
        <f>N230*O230</f>
        <v>0</v>
      </c>
      <c r="N230" s="71"/>
      <c r="O230" s="71"/>
      <c r="P230" s="75">
        <f>ROUND(K230/L230,2)</f>
        <v>0</v>
      </c>
      <c r="Q230" s="74">
        <f>N230*O230*P230</f>
        <v>0</v>
      </c>
      <c r="R230" s="74">
        <f>Q230*0.15</f>
        <v>0</v>
      </c>
      <c r="S230" s="76">
        <f>Q230+R230</f>
        <v>0</v>
      </c>
    </row>
    <row r="231" spans="1:19" s="39" customFormat="1" ht="12.75" hidden="1">
      <c r="A231" s="69">
        <v>2</v>
      </c>
      <c r="B231" s="70"/>
      <c r="C231" s="71" t="s">
        <v>52</v>
      </c>
      <c r="D231" s="72" t="str">
        <f aca="true" t="shared" si="122" ref="D231:D239">B$226</f>
        <v>услуга 13</v>
      </c>
      <c r="E231" s="71"/>
      <c r="F231" s="71">
        <f t="shared" si="120"/>
        <v>0</v>
      </c>
      <c r="G231" s="71">
        <v>7570</v>
      </c>
      <c r="H231" s="73">
        <f>H$24</f>
        <v>0</v>
      </c>
      <c r="I231" s="73">
        <v>0</v>
      </c>
      <c r="J231" s="71"/>
      <c r="K231" s="74">
        <f aca="true" t="shared" si="123" ref="K231:K239">(G231+G231*(H231+I231))*J231</f>
        <v>0</v>
      </c>
      <c r="L231" s="71">
        <f t="shared" si="121"/>
        <v>1800</v>
      </c>
      <c r="M231" s="71">
        <f aca="true" t="shared" si="124" ref="M231:M239">N231*O231</f>
        <v>0</v>
      </c>
      <c r="N231" s="71"/>
      <c r="O231" s="71"/>
      <c r="P231" s="75">
        <f aca="true" t="shared" si="125" ref="P231:P239">ROUND(K231/L231,2)</f>
        <v>0</v>
      </c>
      <c r="Q231" s="74">
        <f aca="true" t="shared" si="126" ref="Q231:Q239">N231*O231*P231</f>
        <v>0</v>
      </c>
      <c r="R231" s="74">
        <f aca="true" t="shared" si="127" ref="R231:R239">Q231*0.15</f>
        <v>0</v>
      </c>
      <c r="S231" s="76">
        <f aca="true" t="shared" si="128" ref="S231:S239">Q231+R231</f>
        <v>0</v>
      </c>
    </row>
    <row r="232" spans="1:19" s="39" customFormat="1" ht="12.75" hidden="1">
      <c r="A232" s="69">
        <v>3</v>
      </c>
      <c r="B232" s="70"/>
      <c r="C232" s="71" t="s">
        <v>52</v>
      </c>
      <c r="D232" s="72" t="str">
        <f t="shared" si="122"/>
        <v>услуга 13</v>
      </c>
      <c r="E232" s="71"/>
      <c r="F232" s="71">
        <f t="shared" si="120"/>
        <v>0</v>
      </c>
      <c r="G232" s="71">
        <v>7570</v>
      </c>
      <c r="H232" s="73">
        <f aca="true" t="shared" si="129" ref="H232:H239">H$24</f>
        <v>0</v>
      </c>
      <c r="I232" s="73"/>
      <c r="J232" s="71"/>
      <c r="K232" s="74">
        <f t="shared" si="123"/>
        <v>0</v>
      </c>
      <c r="L232" s="71">
        <f t="shared" si="121"/>
        <v>1800</v>
      </c>
      <c r="M232" s="71">
        <f t="shared" si="124"/>
        <v>0</v>
      </c>
      <c r="N232" s="71"/>
      <c r="O232" s="71"/>
      <c r="P232" s="75">
        <f t="shared" si="125"/>
        <v>0</v>
      </c>
      <c r="Q232" s="74">
        <f t="shared" si="126"/>
        <v>0</v>
      </c>
      <c r="R232" s="74">
        <f t="shared" si="127"/>
        <v>0</v>
      </c>
      <c r="S232" s="76">
        <f t="shared" si="128"/>
        <v>0</v>
      </c>
    </row>
    <row r="233" spans="1:19" s="39" customFormat="1" ht="12.75" hidden="1">
      <c r="A233" s="69">
        <v>4</v>
      </c>
      <c r="B233" s="70"/>
      <c r="C233" s="71" t="s">
        <v>52</v>
      </c>
      <c r="D233" s="72" t="str">
        <f t="shared" si="122"/>
        <v>услуга 13</v>
      </c>
      <c r="E233" s="71"/>
      <c r="F233" s="71">
        <f t="shared" si="120"/>
        <v>0</v>
      </c>
      <c r="G233" s="71">
        <v>7570</v>
      </c>
      <c r="H233" s="73">
        <f t="shared" si="129"/>
        <v>0</v>
      </c>
      <c r="I233" s="73"/>
      <c r="J233" s="71"/>
      <c r="K233" s="74">
        <f t="shared" si="123"/>
        <v>0</v>
      </c>
      <c r="L233" s="71">
        <f t="shared" si="121"/>
        <v>1800</v>
      </c>
      <c r="M233" s="71">
        <f t="shared" si="124"/>
        <v>0</v>
      </c>
      <c r="N233" s="71"/>
      <c r="O233" s="71"/>
      <c r="P233" s="75">
        <f t="shared" si="125"/>
        <v>0</v>
      </c>
      <c r="Q233" s="74">
        <f t="shared" si="126"/>
        <v>0</v>
      </c>
      <c r="R233" s="74">
        <f t="shared" si="127"/>
        <v>0</v>
      </c>
      <c r="S233" s="76">
        <f t="shared" si="128"/>
        <v>0</v>
      </c>
    </row>
    <row r="234" spans="1:19" s="39" customFormat="1" ht="12.75" hidden="1">
      <c r="A234" s="69">
        <v>5</v>
      </c>
      <c r="B234" s="70"/>
      <c r="C234" s="71" t="s">
        <v>52</v>
      </c>
      <c r="D234" s="72" t="str">
        <f t="shared" si="122"/>
        <v>услуга 13</v>
      </c>
      <c r="E234" s="71"/>
      <c r="F234" s="71">
        <f t="shared" si="120"/>
        <v>0</v>
      </c>
      <c r="G234" s="71">
        <v>7570</v>
      </c>
      <c r="H234" s="73">
        <f t="shared" si="129"/>
        <v>0</v>
      </c>
      <c r="I234" s="73"/>
      <c r="J234" s="71"/>
      <c r="K234" s="74">
        <f t="shared" si="123"/>
        <v>0</v>
      </c>
      <c r="L234" s="71">
        <f t="shared" si="121"/>
        <v>1800</v>
      </c>
      <c r="M234" s="71">
        <f t="shared" si="124"/>
        <v>0</v>
      </c>
      <c r="N234" s="71"/>
      <c r="O234" s="71"/>
      <c r="P234" s="75">
        <f t="shared" si="125"/>
        <v>0</v>
      </c>
      <c r="Q234" s="74">
        <f t="shared" si="126"/>
        <v>0</v>
      </c>
      <c r="R234" s="74">
        <f t="shared" si="127"/>
        <v>0</v>
      </c>
      <c r="S234" s="76">
        <f t="shared" si="128"/>
        <v>0</v>
      </c>
    </row>
    <row r="235" spans="1:19" s="39" customFormat="1" ht="12.75" hidden="1">
      <c r="A235" s="69">
        <v>6</v>
      </c>
      <c r="B235" s="70"/>
      <c r="C235" s="71" t="s">
        <v>52</v>
      </c>
      <c r="D235" s="72" t="str">
        <f t="shared" si="122"/>
        <v>услуга 13</v>
      </c>
      <c r="E235" s="71"/>
      <c r="F235" s="71">
        <f t="shared" si="120"/>
        <v>0</v>
      </c>
      <c r="G235" s="71">
        <v>7570</v>
      </c>
      <c r="H235" s="73">
        <f t="shared" si="129"/>
        <v>0</v>
      </c>
      <c r="I235" s="73"/>
      <c r="J235" s="71"/>
      <c r="K235" s="74">
        <f t="shared" si="123"/>
        <v>0</v>
      </c>
      <c r="L235" s="71">
        <f t="shared" si="121"/>
        <v>1800</v>
      </c>
      <c r="M235" s="71">
        <f t="shared" si="124"/>
        <v>0</v>
      </c>
      <c r="N235" s="71"/>
      <c r="O235" s="71"/>
      <c r="P235" s="75">
        <f t="shared" si="125"/>
        <v>0</v>
      </c>
      <c r="Q235" s="74">
        <f t="shared" si="126"/>
        <v>0</v>
      </c>
      <c r="R235" s="74">
        <f t="shared" si="127"/>
        <v>0</v>
      </c>
      <c r="S235" s="76">
        <f t="shared" si="128"/>
        <v>0</v>
      </c>
    </row>
    <row r="236" spans="1:19" s="39" customFormat="1" ht="12.75" hidden="1">
      <c r="A236" s="69">
        <v>7</v>
      </c>
      <c r="B236" s="70"/>
      <c r="C236" s="71" t="s">
        <v>52</v>
      </c>
      <c r="D236" s="72" t="str">
        <f t="shared" si="122"/>
        <v>услуга 13</v>
      </c>
      <c r="E236" s="71"/>
      <c r="F236" s="71">
        <f t="shared" si="120"/>
        <v>0</v>
      </c>
      <c r="G236" s="71">
        <v>7570</v>
      </c>
      <c r="H236" s="73">
        <f t="shared" si="129"/>
        <v>0</v>
      </c>
      <c r="I236" s="73"/>
      <c r="J236" s="71"/>
      <c r="K236" s="74">
        <f t="shared" si="123"/>
        <v>0</v>
      </c>
      <c r="L236" s="71">
        <f t="shared" si="121"/>
        <v>1800</v>
      </c>
      <c r="M236" s="71">
        <f t="shared" si="124"/>
        <v>0</v>
      </c>
      <c r="N236" s="71"/>
      <c r="O236" s="71"/>
      <c r="P236" s="75">
        <f t="shared" si="125"/>
        <v>0</v>
      </c>
      <c r="Q236" s="74">
        <f t="shared" si="126"/>
        <v>0</v>
      </c>
      <c r="R236" s="74">
        <f t="shared" si="127"/>
        <v>0</v>
      </c>
      <c r="S236" s="76">
        <f t="shared" si="128"/>
        <v>0</v>
      </c>
    </row>
    <row r="237" spans="1:19" s="39" customFormat="1" ht="12.75" hidden="1">
      <c r="A237" s="69">
        <v>8</v>
      </c>
      <c r="B237" s="70"/>
      <c r="C237" s="71" t="s">
        <v>52</v>
      </c>
      <c r="D237" s="72" t="str">
        <f t="shared" si="122"/>
        <v>услуга 13</v>
      </c>
      <c r="E237" s="71"/>
      <c r="F237" s="71">
        <f t="shared" si="120"/>
        <v>0</v>
      </c>
      <c r="G237" s="71">
        <v>7570</v>
      </c>
      <c r="H237" s="73">
        <f t="shared" si="129"/>
        <v>0</v>
      </c>
      <c r="I237" s="73"/>
      <c r="J237" s="71"/>
      <c r="K237" s="74">
        <f t="shared" si="123"/>
        <v>0</v>
      </c>
      <c r="L237" s="71">
        <f t="shared" si="121"/>
        <v>1800</v>
      </c>
      <c r="M237" s="71">
        <f t="shared" si="124"/>
        <v>0</v>
      </c>
      <c r="N237" s="71"/>
      <c r="O237" s="71"/>
      <c r="P237" s="75">
        <f t="shared" si="125"/>
        <v>0</v>
      </c>
      <c r="Q237" s="74">
        <f t="shared" si="126"/>
        <v>0</v>
      </c>
      <c r="R237" s="74">
        <f t="shared" si="127"/>
        <v>0</v>
      </c>
      <c r="S237" s="76">
        <f t="shared" si="128"/>
        <v>0</v>
      </c>
    </row>
    <row r="238" spans="1:19" s="39" customFormat="1" ht="12.75" hidden="1">
      <c r="A238" s="69">
        <v>9</v>
      </c>
      <c r="B238" s="70"/>
      <c r="C238" s="71" t="s">
        <v>52</v>
      </c>
      <c r="D238" s="72" t="str">
        <f t="shared" si="122"/>
        <v>услуга 13</v>
      </c>
      <c r="E238" s="71"/>
      <c r="F238" s="71">
        <f t="shared" si="120"/>
        <v>0</v>
      </c>
      <c r="G238" s="71">
        <v>7570</v>
      </c>
      <c r="H238" s="73">
        <f t="shared" si="129"/>
        <v>0</v>
      </c>
      <c r="I238" s="73"/>
      <c r="J238" s="71"/>
      <c r="K238" s="74">
        <f t="shared" si="123"/>
        <v>0</v>
      </c>
      <c r="L238" s="71">
        <f t="shared" si="121"/>
        <v>1800</v>
      </c>
      <c r="M238" s="71">
        <f t="shared" si="124"/>
        <v>0</v>
      </c>
      <c r="N238" s="71"/>
      <c r="O238" s="71"/>
      <c r="P238" s="75">
        <f t="shared" si="125"/>
        <v>0</v>
      </c>
      <c r="Q238" s="74">
        <f t="shared" si="126"/>
        <v>0</v>
      </c>
      <c r="R238" s="74">
        <f t="shared" si="127"/>
        <v>0</v>
      </c>
      <c r="S238" s="76">
        <f t="shared" si="128"/>
        <v>0</v>
      </c>
    </row>
    <row r="239" spans="1:19" s="39" customFormat="1" ht="12.75" hidden="1">
      <c r="A239" s="69">
        <v>10</v>
      </c>
      <c r="B239" s="70"/>
      <c r="C239" s="71" t="s">
        <v>52</v>
      </c>
      <c r="D239" s="72" t="str">
        <f t="shared" si="122"/>
        <v>услуга 13</v>
      </c>
      <c r="E239" s="71"/>
      <c r="F239" s="71">
        <f t="shared" si="120"/>
        <v>0</v>
      </c>
      <c r="G239" s="71">
        <v>7570</v>
      </c>
      <c r="H239" s="73">
        <f t="shared" si="129"/>
        <v>0</v>
      </c>
      <c r="I239" s="73"/>
      <c r="J239" s="71"/>
      <c r="K239" s="74">
        <f t="shared" si="123"/>
        <v>0</v>
      </c>
      <c r="L239" s="71">
        <f t="shared" si="121"/>
        <v>1800</v>
      </c>
      <c r="M239" s="71">
        <f t="shared" si="124"/>
        <v>0</v>
      </c>
      <c r="N239" s="71"/>
      <c r="O239" s="71"/>
      <c r="P239" s="75">
        <f t="shared" si="125"/>
        <v>0</v>
      </c>
      <c r="Q239" s="74">
        <f t="shared" si="126"/>
        <v>0</v>
      </c>
      <c r="R239" s="74">
        <f t="shared" si="127"/>
        <v>0</v>
      </c>
      <c r="S239" s="76">
        <f t="shared" si="128"/>
        <v>0</v>
      </c>
    </row>
    <row r="240" spans="1:19" s="39" customFormat="1" ht="13.5" hidden="1" thickBot="1">
      <c r="A240" s="113"/>
      <c r="B240" s="114"/>
      <c r="C240" s="114"/>
      <c r="D240" s="114" t="s">
        <v>53</v>
      </c>
      <c r="E240" s="114"/>
      <c r="F240" s="115">
        <f>SUM(F230:F239)</f>
        <v>0</v>
      </c>
      <c r="G240" s="114"/>
      <c r="H240" s="114"/>
      <c r="I240" s="114"/>
      <c r="J240" s="114"/>
      <c r="K240" s="116"/>
      <c r="L240" s="114"/>
      <c r="M240" s="117">
        <f>SUM(M230:M239)</f>
        <v>0</v>
      </c>
      <c r="N240" s="117">
        <f>SUM(N230:N239)</f>
        <v>0</v>
      </c>
      <c r="O240" s="117">
        <f>SUM(O230:O239)</f>
        <v>0</v>
      </c>
      <c r="P240" s="114"/>
      <c r="Q240" s="115">
        <f>SUM(Q230:Q239)</f>
        <v>0</v>
      </c>
      <c r="R240" s="115">
        <f>SUM(R230:R239)</f>
        <v>0</v>
      </c>
      <c r="S240" s="143">
        <f>SUM(S230:S239)</f>
        <v>0</v>
      </c>
    </row>
    <row r="241" spans="1:19" s="39" customFormat="1" ht="12.75" hidden="1">
      <c r="A241" s="118"/>
      <c r="B241" s="92"/>
      <c r="C241" s="92"/>
      <c r="D241" s="92"/>
      <c r="E241" s="92"/>
      <c r="F241" s="93"/>
      <c r="G241" s="92"/>
      <c r="H241" s="92"/>
      <c r="I241" s="92"/>
      <c r="J241" s="92"/>
      <c r="K241" s="94"/>
      <c r="L241" s="92"/>
      <c r="M241" s="95"/>
      <c r="N241" s="95">
        <f>доходы!C24</f>
        <v>0</v>
      </c>
      <c r="O241" s="96" t="s">
        <v>116</v>
      </c>
      <c r="P241" s="119"/>
      <c r="Q241" s="120"/>
      <c r="R241" s="121"/>
      <c r="S241" s="136"/>
    </row>
    <row r="242" spans="1:19" s="39" customFormat="1" ht="12.75" hidden="1">
      <c r="A242" s="137" t="s">
        <v>128</v>
      </c>
      <c r="B242" s="138" t="str">
        <f>доходы!B25</f>
        <v>услуга 14</v>
      </c>
      <c r="C242" s="92"/>
      <c r="D242" s="92"/>
      <c r="E242" s="92"/>
      <c r="F242" s="139"/>
      <c r="G242" s="139"/>
      <c r="H242" s="139"/>
      <c r="I242" s="139"/>
      <c r="J242" s="139"/>
      <c r="K242" s="140"/>
      <c r="L242" s="139"/>
      <c r="M242" s="139"/>
      <c r="N242" s="139"/>
      <c r="O242" s="139"/>
      <c r="P242" s="139"/>
      <c r="Q242" s="139"/>
      <c r="R242" s="139"/>
      <c r="S242" s="141"/>
    </row>
    <row r="243" spans="1:19" s="39" customFormat="1" ht="13.5" hidden="1" thickBot="1">
      <c r="A243" s="142"/>
      <c r="B243" s="139"/>
      <c r="C243" s="139"/>
      <c r="D243" s="139"/>
      <c r="E243" s="139"/>
      <c r="F243" s="139"/>
      <c r="G243" s="139"/>
      <c r="H243" s="139"/>
      <c r="I243" s="139"/>
      <c r="J243" s="139"/>
      <c r="K243" s="140"/>
      <c r="L243" s="139"/>
      <c r="M243" s="139"/>
      <c r="N243" s="139"/>
      <c r="O243" s="139"/>
      <c r="P243" s="139"/>
      <c r="Q243" s="139"/>
      <c r="R243" s="139"/>
      <c r="S243" s="141"/>
    </row>
    <row r="244" spans="1:19" s="39" customFormat="1" ht="51.75" hidden="1" thickBot="1">
      <c r="A244" s="99" t="s">
        <v>1</v>
      </c>
      <c r="B244" s="99" t="s">
        <v>2</v>
      </c>
      <c r="C244" s="99" t="s">
        <v>8</v>
      </c>
      <c r="D244" s="99" t="s">
        <v>3</v>
      </c>
      <c r="E244" s="99" t="s">
        <v>4</v>
      </c>
      <c r="F244" s="99" t="s">
        <v>5</v>
      </c>
      <c r="G244" s="99" t="s">
        <v>64</v>
      </c>
      <c r="H244" s="99" t="s">
        <v>117</v>
      </c>
      <c r="I244" s="99" t="s">
        <v>99</v>
      </c>
      <c r="J244" s="99" t="s">
        <v>65</v>
      </c>
      <c r="K244" s="100" t="s">
        <v>66</v>
      </c>
      <c r="L244" s="99" t="s">
        <v>67</v>
      </c>
      <c r="M244" s="99" t="s">
        <v>6</v>
      </c>
      <c r="N244" s="99" t="s">
        <v>54</v>
      </c>
      <c r="O244" s="99" t="s">
        <v>7</v>
      </c>
      <c r="P244" s="99" t="s">
        <v>48</v>
      </c>
      <c r="Q244" s="99" t="s">
        <v>49</v>
      </c>
      <c r="R244" s="99" t="s">
        <v>50</v>
      </c>
      <c r="S244" s="99" t="s">
        <v>51</v>
      </c>
    </row>
    <row r="245" spans="1:19" s="39" customFormat="1" ht="12.75" hidden="1">
      <c r="A245" s="101">
        <v>1</v>
      </c>
      <c r="B245" s="102">
        <v>2</v>
      </c>
      <c r="C245" s="102">
        <v>3</v>
      </c>
      <c r="D245" s="102">
        <v>4</v>
      </c>
      <c r="E245" s="102">
        <v>5</v>
      </c>
      <c r="F245" s="102">
        <v>6</v>
      </c>
      <c r="G245" s="102">
        <v>7</v>
      </c>
      <c r="H245" s="102">
        <v>8</v>
      </c>
      <c r="I245" s="102">
        <v>9</v>
      </c>
      <c r="J245" s="102">
        <v>10</v>
      </c>
      <c r="K245" s="104">
        <v>11</v>
      </c>
      <c r="L245" s="102">
        <v>12</v>
      </c>
      <c r="M245" s="102">
        <v>13</v>
      </c>
      <c r="N245" s="102">
        <v>14</v>
      </c>
      <c r="O245" s="102">
        <v>15</v>
      </c>
      <c r="P245" s="102">
        <v>16</v>
      </c>
      <c r="Q245" s="102">
        <v>17</v>
      </c>
      <c r="R245" s="102">
        <v>18</v>
      </c>
      <c r="S245" s="105">
        <v>19</v>
      </c>
    </row>
    <row r="246" spans="1:19" s="39" customFormat="1" ht="12.75" hidden="1">
      <c r="A246" s="69">
        <v>1</v>
      </c>
      <c r="B246" s="70" t="s">
        <v>118</v>
      </c>
      <c r="C246" s="71" t="s">
        <v>52</v>
      </c>
      <c r="D246" s="72" t="str">
        <f>B$242</f>
        <v>услуга 14</v>
      </c>
      <c r="E246" s="71"/>
      <c r="F246" s="71">
        <f aca="true" t="shared" si="130" ref="F246:F255">ROUND(O246/18/4,2)</f>
        <v>0</v>
      </c>
      <c r="G246" s="71">
        <v>7570</v>
      </c>
      <c r="H246" s="73">
        <v>0.15</v>
      </c>
      <c r="I246" s="73">
        <v>0</v>
      </c>
      <c r="J246" s="71"/>
      <c r="K246" s="74">
        <f>(G246+G246*(H246+I246))*J246</f>
        <v>0</v>
      </c>
      <c r="L246" s="71">
        <f aca="true" t="shared" si="131" ref="L246:L255">18*25*4</f>
        <v>1800</v>
      </c>
      <c r="M246" s="71">
        <f>N246*O246</f>
        <v>0</v>
      </c>
      <c r="N246" s="71"/>
      <c r="O246" s="71"/>
      <c r="P246" s="75">
        <f>ROUND(K246/L246,2)</f>
        <v>0</v>
      </c>
      <c r="Q246" s="74">
        <f>N246*O246*P246</f>
        <v>0</v>
      </c>
      <c r="R246" s="74">
        <f>Q246*0.15</f>
        <v>0</v>
      </c>
      <c r="S246" s="76">
        <f>Q246+R246</f>
        <v>0</v>
      </c>
    </row>
    <row r="247" spans="1:19" s="39" customFormat="1" ht="12.75" hidden="1">
      <c r="A247" s="69">
        <v>2</v>
      </c>
      <c r="B247" s="70"/>
      <c r="C247" s="71" t="s">
        <v>52</v>
      </c>
      <c r="D247" s="72" t="str">
        <f aca="true" t="shared" si="132" ref="D247:D255">B$242</f>
        <v>услуга 14</v>
      </c>
      <c r="E247" s="71"/>
      <c r="F247" s="71">
        <f t="shared" si="130"/>
        <v>0</v>
      </c>
      <c r="G247" s="71">
        <v>7570</v>
      </c>
      <c r="H247" s="73">
        <f>H$24</f>
        <v>0</v>
      </c>
      <c r="I247" s="73">
        <v>0</v>
      </c>
      <c r="J247" s="71"/>
      <c r="K247" s="74">
        <f aca="true" t="shared" si="133" ref="K247:K255">(G247+G247*(H247+I247))*J247</f>
        <v>0</v>
      </c>
      <c r="L247" s="71">
        <f t="shared" si="131"/>
        <v>1800</v>
      </c>
      <c r="M247" s="71">
        <f aca="true" t="shared" si="134" ref="M247:M255">N247*O247</f>
        <v>0</v>
      </c>
      <c r="N247" s="71"/>
      <c r="O247" s="71"/>
      <c r="P247" s="75">
        <f aca="true" t="shared" si="135" ref="P247:P255">ROUND(K247/L247,2)</f>
        <v>0</v>
      </c>
      <c r="Q247" s="74">
        <f aca="true" t="shared" si="136" ref="Q247:Q255">N247*O247*P247</f>
        <v>0</v>
      </c>
      <c r="R247" s="74">
        <f aca="true" t="shared" si="137" ref="R247:R255">Q247*0.15</f>
        <v>0</v>
      </c>
      <c r="S247" s="76">
        <f aca="true" t="shared" si="138" ref="S247:S255">Q247+R247</f>
        <v>0</v>
      </c>
    </row>
    <row r="248" spans="1:19" s="39" customFormat="1" ht="12.75" hidden="1">
      <c r="A248" s="69">
        <v>3</v>
      </c>
      <c r="B248" s="70"/>
      <c r="C248" s="71" t="s">
        <v>52</v>
      </c>
      <c r="D248" s="72" t="str">
        <f t="shared" si="132"/>
        <v>услуга 14</v>
      </c>
      <c r="E248" s="71"/>
      <c r="F248" s="71">
        <f t="shared" si="130"/>
        <v>0</v>
      </c>
      <c r="G248" s="71">
        <v>7570</v>
      </c>
      <c r="H248" s="73">
        <f aca="true" t="shared" si="139" ref="H248:H255">H$24</f>
        <v>0</v>
      </c>
      <c r="I248" s="73"/>
      <c r="J248" s="71"/>
      <c r="K248" s="74">
        <f t="shared" si="133"/>
        <v>0</v>
      </c>
      <c r="L248" s="71">
        <f t="shared" si="131"/>
        <v>1800</v>
      </c>
      <c r="M248" s="71">
        <f t="shared" si="134"/>
        <v>0</v>
      </c>
      <c r="N248" s="71"/>
      <c r="O248" s="71"/>
      <c r="P248" s="75">
        <f t="shared" si="135"/>
        <v>0</v>
      </c>
      <c r="Q248" s="74">
        <f t="shared" si="136"/>
        <v>0</v>
      </c>
      <c r="R248" s="74">
        <f t="shared" si="137"/>
        <v>0</v>
      </c>
      <c r="S248" s="76">
        <f t="shared" si="138"/>
        <v>0</v>
      </c>
    </row>
    <row r="249" spans="1:19" s="39" customFormat="1" ht="12.75" hidden="1">
      <c r="A249" s="69">
        <v>4</v>
      </c>
      <c r="B249" s="70"/>
      <c r="C249" s="71" t="s">
        <v>52</v>
      </c>
      <c r="D249" s="72" t="str">
        <f t="shared" si="132"/>
        <v>услуга 14</v>
      </c>
      <c r="E249" s="71"/>
      <c r="F249" s="71">
        <f t="shared" si="130"/>
        <v>0</v>
      </c>
      <c r="G249" s="71">
        <v>7570</v>
      </c>
      <c r="H249" s="73">
        <f t="shared" si="139"/>
        <v>0</v>
      </c>
      <c r="I249" s="73"/>
      <c r="J249" s="71"/>
      <c r="K249" s="74">
        <f t="shared" si="133"/>
        <v>0</v>
      </c>
      <c r="L249" s="71">
        <f t="shared" si="131"/>
        <v>1800</v>
      </c>
      <c r="M249" s="71">
        <f t="shared" si="134"/>
        <v>0</v>
      </c>
      <c r="N249" s="71"/>
      <c r="O249" s="71"/>
      <c r="P249" s="75">
        <f t="shared" si="135"/>
        <v>0</v>
      </c>
      <c r="Q249" s="74">
        <f t="shared" si="136"/>
        <v>0</v>
      </c>
      <c r="R249" s="74">
        <f t="shared" si="137"/>
        <v>0</v>
      </c>
      <c r="S249" s="76">
        <f t="shared" si="138"/>
        <v>0</v>
      </c>
    </row>
    <row r="250" spans="1:19" s="39" customFormat="1" ht="12.75" hidden="1">
      <c r="A250" s="69">
        <v>5</v>
      </c>
      <c r="B250" s="70"/>
      <c r="C250" s="71" t="s">
        <v>52</v>
      </c>
      <c r="D250" s="72" t="str">
        <f t="shared" si="132"/>
        <v>услуга 14</v>
      </c>
      <c r="E250" s="71"/>
      <c r="F250" s="71">
        <f t="shared" si="130"/>
        <v>0</v>
      </c>
      <c r="G250" s="71">
        <v>7570</v>
      </c>
      <c r="H250" s="73">
        <f t="shared" si="139"/>
        <v>0</v>
      </c>
      <c r="I250" s="73"/>
      <c r="J250" s="71"/>
      <c r="K250" s="74">
        <f t="shared" si="133"/>
        <v>0</v>
      </c>
      <c r="L250" s="71">
        <f t="shared" si="131"/>
        <v>1800</v>
      </c>
      <c r="M250" s="71">
        <f t="shared" si="134"/>
        <v>0</v>
      </c>
      <c r="N250" s="71"/>
      <c r="O250" s="71"/>
      <c r="P250" s="75">
        <f t="shared" si="135"/>
        <v>0</v>
      </c>
      <c r="Q250" s="74">
        <f t="shared" si="136"/>
        <v>0</v>
      </c>
      <c r="R250" s="74">
        <f t="shared" si="137"/>
        <v>0</v>
      </c>
      <c r="S250" s="76">
        <f t="shared" si="138"/>
        <v>0</v>
      </c>
    </row>
    <row r="251" spans="1:19" s="39" customFormat="1" ht="12.75" hidden="1">
      <c r="A251" s="69">
        <v>6</v>
      </c>
      <c r="B251" s="70"/>
      <c r="C251" s="71" t="s">
        <v>52</v>
      </c>
      <c r="D251" s="72" t="str">
        <f t="shared" si="132"/>
        <v>услуга 14</v>
      </c>
      <c r="E251" s="71"/>
      <c r="F251" s="71">
        <f t="shared" si="130"/>
        <v>0</v>
      </c>
      <c r="G251" s="71">
        <v>7570</v>
      </c>
      <c r="H251" s="73">
        <f t="shared" si="139"/>
        <v>0</v>
      </c>
      <c r="I251" s="73"/>
      <c r="J251" s="71"/>
      <c r="K251" s="74">
        <f t="shared" si="133"/>
        <v>0</v>
      </c>
      <c r="L251" s="71">
        <f t="shared" si="131"/>
        <v>1800</v>
      </c>
      <c r="M251" s="71">
        <f t="shared" si="134"/>
        <v>0</v>
      </c>
      <c r="N251" s="71"/>
      <c r="O251" s="71"/>
      <c r="P251" s="75">
        <f t="shared" si="135"/>
        <v>0</v>
      </c>
      <c r="Q251" s="74">
        <f t="shared" si="136"/>
        <v>0</v>
      </c>
      <c r="R251" s="74">
        <f t="shared" si="137"/>
        <v>0</v>
      </c>
      <c r="S251" s="76">
        <f t="shared" si="138"/>
        <v>0</v>
      </c>
    </row>
    <row r="252" spans="1:19" s="39" customFormat="1" ht="12.75" hidden="1">
      <c r="A252" s="69">
        <v>7</v>
      </c>
      <c r="B252" s="70"/>
      <c r="C252" s="71" t="s">
        <v>52</v>
      </c>
      <c r="D252" s="72" t="str">
        <f t="shared" si="132"/>
        <v>услуга 14</v>
      </c>
      <c r="E252" s="71"/>
      <c r="F252" s="71">
        <f t="shared" si="130"/>
        <v>0</v>
      </c>
      <c r="G252" s="71">
        <v>7570</v>
      </c>
      <c r="H252" s="73">
        <f t="shared" si="139"/>
        <v>0</v>
      </c>
      <c r="I252" s="73"/>
      <c r="J252" s="71"/>
      <c r="K252" s="74">
        <f t="shared" si="133"/>
        <v>0</v>
      </c>
      <c r="L252" s="71">
        <f t="shared" si="131"/>
        <v>1800</v>
      </c>
      <c r="M252" s="71">
        <f t="shared" si="134"/>
        <v>0</v>
      </c>
      <c r="N252" s="71"/>
      <c r="O252" s="71"/>
      <c r="P252" s="75">
        <f t="shared" si="135"/>
        <v>0</v>
      </c>
      <c r="Q252" s="74">
        <f t="shared" si="136"/>
        <v>0</v>
      </c>
      <c r="R252" s="74">
        <f t="shared" si="137"/>
        <v>0</v>
      </c>
      <c r="S252" s="76">
        <f t="shared" si="138"/>
        <v>0</v>
      </c>
    </row>
    <row r="253" spans="1:19" s="39" customFormat="1" ht="12.75" hidden="1">
      <c r="A253" s="69">
        <v>8</v>
      </c>
      <c r="B253" s="70"/>
      <c r="C253" s="71" t="s">
        <v>52</v>
      </c>
      <c r="D253" s="72" t="str">
        <f t="shared" si="132"/>
        <v>услуга 14</v>
      </c>
      <c r="E253" s="71"/>
      <c r="F253" s="71">
        <f t="shared" si="130"/>
        <v>0</v>
      </c>
      <c r="G253" s="71">
        <v>7570</v>
      </c>
      <c r="H253" s="73">
        <f t="shared" si="139"/>
        <v>0</v>
      </c>
      <c r="I253" s="73"/>
      <c r="J253" s="71"/>
      <c r="K253" s="74">
        <f t="shared" si="133"/>
        <v>0</v>
      </c>
      <c r="L253" s="71">
        <f t="shared" si="131"/>
        <v>1800</v>
      </c>
      <c r="M253" s="71">
        <f t="shared" si="134"/>
        <v>0</v>
      </c>
      <c r="N253" s="71"/>
      <c r="O253" s="71"/>
      <c r="P253" s="75">
        <f t="shared" si="135"/>
        <v>0</v>
      </c>
      <c r="Q253" s="74">
        <f t="shared" si="136"/>
        <v>0</v>
      </c>
      <c r="R253" s="74">
        <f t="shared" si="137"/>
        <v>0</v>
      </c>
      <c r="S253" s="76">
        <f t="shared" si="138"/>
        <v>0</v>
      </c>
    </row>
    <row r="254" spans="1:19" s="39" customFormat="1" ht="12.75" hidden="1">
      <c r="A254" s="69">
        <v>9</v>
      </c>
      <c r="B254" s="70"/>
      <c r="C254" s="71" t="s">
        <v>52</v>
      </c>
      <c r="D254" s="72" t="str">
        <f t="shared" si="132"/>
        <v>услуга 14</v>
      </c>
      <c r="E254" s="71"/>
      <c r="F254" s="71">
        <f t="shared" si="130"/>
        <v>0</v>
      </c>
      <c r="G254" s="71">
        <v>7570</v>
      </c>
      <c r="H254" s="73">
        <f t="shared" si="139"/>
        <v>0</v>
      </c>
      <c r="I254" s="73"/>
      <c r="J254" s="71"/>
      <c r="K254" s="74">
        <f t="shared" si="133"/>
        <v>0</v>
      </c>
      <c r="L254" s="71">
        <f t="shared" si="131"/>
        <v>1800</v>
      </c>
      <c r="M254" s="71">
        <f t="shared" si="134"/>
        <v>0</v>
      </c>
      <c r="N254" s="71"/>
      <c r="O254" s="71"/>
      <c r="P254" s="75">
        <f t="shared" si="135"/>
        <v>0</v>
      </c>
      <c r="Q254" s="74">
        <f t="shared" si="136"/>
        <v>0</v>
      </c>
      <c r="R254" s="74">
        <f t="shared" si="137"/>
        <v>0</v>
      </c>
      <c r="S254" s="76">
        <f t="shared" si="138"/>
        <v>0</v>
      </c>
    </row>
    <row r="255" spans="1:19" s="39" customFormat="1" ht="12.75" hidden="1">
      <c r="A255" s="69">
        <v>10</v>
      </c>
      <c r="B255" s="70"/>
      <c r="C255" s="71" t="s">
        <v>52</v>
      </c>
      <c r="D255" s="72" t="str">
        <f t="shared" si="132"/>
        <v>услуга 14</v>
      </c>
      <c r="E255" s="71"/>
      <c r="F255" s="71">
        <f t="shared" si="130"/>
        <v>0</v>
      </c>
      <c r="G255" s="71">
        <v>7570</v>
      </c>
      <c r="H255" s="73">
        <f t="shared" si="139"/>
        <v>0</v>
      </c>
      <c r="I255" s="73"/>
      <c r="J255" s="71"/>
      <c r="K255" s="74">
        <f t="shared" si="133"/>
        <v>0</v>
      </c>
      <c r="L255" s="71">
        <f t="shared" si="131"/>
        <v>1800</v>
      </c>
      <c r="M255" s="71">
        <f t="shared" si="134"/>
        <v>0</v>
      </c>
      <c r="N255" s="71"/>
      <c r="O255" s="71"/>
      <c r="P255" s="75">
        <f t="shared" si="135"/>
        <v>0</v>
      </c>
      <c r="Q255" s="74">
        <f t="shared" si="136"/>
        <v>0</v>
      </c>
      <c r="R255" s="74">
        <f t="shared" si="137"/>
        <v>0</v>
      </c>
      <c r="S255" s="76">
        <f t="shared" si="138"/>
        <v>0</v>
      </c>
    </row>
    <row r="256" spans="1:19" s="39" customFormat="1" ht="13.5" hidden="1" thickBot="1">
      <c r="A256" s="113"/>
      <c r="B256" s="114"/>
      <c r="C256" s="114"/>
      <c r="D256" s="114" t="s">
        <v>53</v>
      </c>
      <c r="E256" s="114"/>
      <c r="F256" s="115">
        <f>SUM(F246:F255)</f>
        <v>0</v>
      </c>
      <c r="G256" s="114"/>
      <c r="H256" s="114"/>
      <c r="I256" s="114"/>
      <c r="J256" s="114"/>
      <c r="K256" s="116"/>
      <c r="L256" s="114"/>
      <c r="M256" s="117">
        <f>SUM(M246:M255)</f>
        <v>0</v>
      </c>
      <c r="N256" s="117">
        <f>SUM(N246:N255)</f>
        <v>0</v>
      </c>
      <c r="O256" s="117">
        <f>SUM(O246:O255)</f>
        <v>0</v>
      </c>
      <c r="P256" s="114"/>
      <c r="Q256" s="115">
        <f>SUM(Q246:Q255)</f>
        <v>0</v>
      </c>
      <c r="R256" s="115">
        <f>SUM(R246:R255)</f>
        <v>0</v>
      </c>
      <c r="S256" s="143">
        <f>SUM(S246:S255)</f>
        <v>0</v>
      </c>
    </row>
    <row r="257" spans="1:19" s="39" customFormat="1" ht="12.75" hidden="1">
      <c r="A257" s="118"/>
      <c r="B257" s="92"/>
      <c r="C257" s="92"/>
      <c r="D257" s="92"/>
      <c r="E257" s="92"/>
      <c r="F257" s="93"/>
      <c r="G257" s="92"/>
      <c r="H257" s="92"/>
      <c r="I257" s="92"/>
      <c r="J257" s="92"/>
      <c r="K257" s="94"/>
      <c r="L257" s="92"/>
      <c r="M257" s="95"/>
      <c r="N257" s="95">
        <f>доходы!C25</f>
        <v>0</v>
      </c>
      <c r="O257" s="96" t="s">
        <v>116</v>
      </c>
      <c r="P257" s="119"/>
      <c r="Q257" s="120"/>
      <c r="R257" s="121"/>
      <c r="S257" s="136"/>
    </row>
    <row r="258" spans="1:19" s="39" customFormat="1" ht="12.75" hidden="1">
      <c r="A258" s="137" t="s">
        <v>129</v>
      </c>
      <c r="B258" s="138" t="str">
        <f>доходы!B26</f>
        <v>услуга 15</v>
      </c>
      <c r="C258" s="92"/>
      <c r="D258" s="92"/>
      <c r="E258" s="92"/>
      <c r="F258" s="139"/>
      <c r="G258" s="139"/>
      <c r="H258" s="139"/>
      <c r="I258" s="139"/>
      <c r="J258" s="139"/>
      <c r="K258" s="140"/>
      <c r="L258" s="139"/>
      <c r="M258" s="139"/>
      <c r="N258" s="139"/>
      <c r="O258" s="139"/>
      <c r="P258" s="139"/>
      <c r="Q258" s="139"/>
      <c r="R258" s="139"/>
      <c r="S258" s="141"/>
    </row>
    <row r="259" spans="1:19" s="39" customFormat="1" ht="13.5" hidden="1" thickBot="1">
      <c r="A259" s="142"/>
      <c r="B259" s="139"/>
      <c r="C259" s="139"/>
      <c r="D259" s="139"/>
      <c r="E259" s="139"/>
      <c r="F259" s="139"/>
      <c r="G259" s="139"/>
      <c r="H259" s="139"/>
      <c r="I259" s="139"/>
      <c r="J259" s="139"/>
      <c r="K259" s="140"/>
      <c r="L259" s="139"/>
      <c r="M259" s="139"/>
      <c r="N259" s="139"/>
      <c r="O259" s="139"/>
      <c r="P259" s="139"/>
      <c r="Q259" s="139"/>
      <c r="R259" s="139"/>
      <c r="S259" s="141"/>
    </row>
    <row r="260" spans="1:19" s="39" customFormat="1" ht="51.75" hidden="1" thickBot="1">
      <c r="A260" s="99" t="s">
        <v>1</v>
      </c>
      <c r="B260" s="99" t="s">
        <v>2</v>
      </c>
      <c r="C260" s="99" t="s">
        <v>8</v>
      </c>
      <c r="D260" s="99" t="s">
        <v>3</v>
      </c>
      <c r="E260" s="99" t="s">
        <v>4</v>
      </c>
      <c r="F260" s="99" t="s">
        <v>5</v>
      </c>
      <c r="G260" s="99" t="s">
        <v>64</v>
      </c>
      <c r="H260" s="99" t="s">
        <v>117</v>
      </c>
      <c r="I260" s="99" t="s">
        <v>99</v>
      </c>
      <c r="J260" s="99" t="s">
        <v>65</v>
      </c>
      <c r="K260" s="100" t="s">
        <v>66</v>
      </c>
      <c r="L260" s="99" t="s">
        <v>67</v>
      </c>
      <c r="M260" s="99" t="s">
        <v>6</v>
      </c>
      <c r="N260" s="99" t="s">
        <v>54</v>
      </c>
      <c r="O260" s="99" t="s">
        <v>7</v>
      </c>
      <c r="P260" s="99" t="s">
        <v>48</v>
      </c>
      <c r="Q260" s="99" t="s">
        <v>49</v>
      </c>
      <c r="R260" s="99" t="s">
        <v>50</v>
      </c>
      <c r="S260" s="99" t="s">
        <v>51</v>
      </c>
    </row>
    <row r="261" spans="1:19" s="39" customFormat="1" ht="12.75" hidden="1">
      <c r="A261" s="101">
        <v>1</v>
      </c>
      <c r="B261" s="102">
        <v>2</v>
      </c>
      <c r="C261" s="102">
        <v>3</v>
      </c>
      <c r="D261" s="102">
        <v>4</v>
      </c>
      <c r="E261" s="102">
        <v>5</v>
      </c>
      <c r="F261" s="102">
        <v>6</v>
      </c>
      <c r="G261" s="102">
        <v>7</v>
      </c>
      <c r="H261" s="102">
        <v>8</v>
      </c>
      <c r="I261" s="102">
        <v>9</v>
      </c>
      <c r="J261" s="102">
        <v>10</v>
      </c>
      <c r="K261" s="104">
        <v>11</v>
      </c>
      <c r="L261" s="102">
        <v>12</v>
      </c>
      <c r="M261" s="102">
        <v>13</v>
      </c>
      <c r="N261" s="102">
        <v>14</v>
      </c>
      <c r="O261" s="102">
        <v>15</v>
      </c>
      <c r="P261" s="102">
        <v>16</v>
      </c>
      <c r="Q261" s="102">
        <v>17</v>
      </c>
      <c r="R261" s="102">
        <v>18</v>
      </c>
      <c r="S261" s="105">
        <v>19</v>
      </c>
    </row>
    <row r="262" spans="1:19" s="39" customFormat="1" ht="12.75" hidden="1">
      <c r="A262" s="69">
        <v>1</v>
      </c>
      <c r="B262" s="70" t="s">
        <v>118</v>
      </c>
      <c r="C262" s="71" t="s">
        <v>52</v>
      </c>
      <c r="D262" s="72" t="str">
        <f>B$258</f>
        <v>услуга 15</v>
      </c>
      <c r="E262" s="71"/>
      <c r="F262" s="71">
        <f aca="true" t="shared" si="140" ref="F262:F271">ROUND(O262/18/4,2)</f>
        <v>0</v>
      </c>
      <c r="G262" s="71">
        <v>7570</v>
      </c>
      <c r="H262" s="73">
        <v>0.15</v>
      </c>
      <c r="I262" s="73">
        <v>0</v>
      </c>
      <c r="J262" s="71"/>
      <c r="K262" s="74">
        <f>(G262+G262*(H262+I262))*J262</f>
        <v>0</v>
      </c>
      <c r="L262" s="71">
        <f aca="true" t="shared" si="141" ref="L262:L271">18*25*4</f>
        <v>1800</v>
      </c>
      <c r="M262" s="71">
        <f>N262*O262</f>
        <v>0</v>
      </c>
      <c r="N262" s="71"/>
      <c r="O262" s="71"/>
      <c r="P262" s="75">
        <f>ROUND(K262/L262,2)</f>
        <v>0</v>
      </c>
      <c r="Q262" s="74">
        <f>N262*O262*P262</f>
        <v>0</v>
      </c>
      <c r="R262" s="74">
        <f>Q262*0.15</f>
        <v>0</v>
      </c>
      <c r="S262" s="76">
        <f>Q262+R262</f>
        <v>0</v>
      </c>
    </row>
    <row r="263" spans="1:19" s="39" customFormat="1" ht="12.75" hidden="1">
      <c r="A263" s="69">
        <v>2</v>
      </c>
      <c r="B263" s="70"/>
      <c r="C263" s="71" t="s">
        <v>52</v>
      </c>
      <c r="D263" s="72" t="str">
        <f aca="true" t="shared" si="142" ref="D263:D271">B$258</f>
        <v>услуга 15</v>
      </c>
      <c r="E263" s="71"/>
      <c r="F263" s="71">
        <f t="shared" si="140"/>
        <v>0</v>
      </c>
      <c r="G263" s="71">
        <v>7570</v>
      </c>
      <c r="H263" s="73">
        <f>H$24</f>
        <v>0</v>
      </c>
      <c r="I263" s="73">
        <v>0</v>
      </c>
      <c r="J263" s="71"/>
      <c r="K263" s="74">
        <f aca="true" t="shared" si="143" ref="K263:K271">(G263+G263*(H263+I263))*J263</f>
        <v>0</v>
      </c>
      <c r="L263" s="71">
        <f t="shared" si="141"/>
        <v>1800</v>
      </c>
      <c r="M263" s="71">
        <f aca="true" t="shared" si="144" ref="M263:M271">N263*O263</f>
        <v>0</v>
      </c>
      <c r="N263" s="71"/>
      <c r="O263" s="71"/>
      <c r="P263" s="75">
        <f aca="true" t="shared" si="145" ref="P263:P271">ROUND(K263/L263,2)</f>
        <v>0</v>
      </c>
      <c r="Q263" s="74">
        <f aca="true" t="shared" si="146" ref="Q263:Q271">N263*O263*P263</f>
        <v>0</v>
      </c>
      <c r="R263" s="74">
        <f aca="true" t="shared" si="147" ref="R263:R271">Q263*0.15</f>
        <v>0</v>
      </c>
      <c r="S263" s="76">
        <f aca="true" t="shared" si="148" ref="S263:S271">Q263+R263</f>
        <v>0</v>
      </c>
    </row>
    <row r="264" spans="1:19" s="39" customFormat="1" ht="12.75" hidden="1">
      <c r="A264" s="69">
        <v>3</v>
      </c>
      <c r="B264" s="70"/>
      <c r="C264" s="71" t="s">
        <v>52</v>
      </c>
      <c r="D264" s="72" t="str">
        <f t="shared" si="142"/>
        <v>услуга 15</v>
      </c>
      <c r="E264" s="71"/>
      <c r="F264" s="71">
        <f t="shared" si="140"/>
        <v>0</v>
      </c>
      <c r="G264" s="71">
        <v>7570</v>
      </c>
      <c r="H264" s="73">
        <f aca="true" t="shared" si="149" ref="H264:H271">H$24</f>
        <v>0</v>
      </c>
      <c r="I264" s="73"/>
      <c r="J264" s="71"/>
      <c r="K264" s="74">
        <f t="shared" si="143"/>
        <v>0</v>
      </c>
      <c r="L264" s="71">
        <f t="shared" si="141"/>
        <v>1800</v>
      </c>
      <c r="M264" s="71">
        <f t="shared" si="144"/>
        <v>0</v>
      </c>
      <c r="N264" s="71"/>
      <c r="O264" s="71"/>
      <c r="P264" s="75">
        <f t="shared" si="145"/>
        <v>0</v>
      </c>
      <c r="Q264" s="74">
        <f t="shared" si="146"/>
        <v>0</v>
      </c>
      <c r="R264" s="74">
        <f t="shared" si="147"/>
        <v>0</v>
      </c>
      <c r="S264" s="76">
        <f t="shared" si="148"/>
        <v>0</v>
      </c>
    </row>
    <row r="265" spans="1:19" s="39" customFormat="1" ht="12.75" hidden="1">
      <c r="A265" s="69">
        <v>4</v>
      </c>
      <c r="B265" s="70"/>
      <c r="C265" s="71" t="s">
        <v>52</v>
      </c>
      <c r="D265" s="72" t="str">
        <f t="shared" si="142"/>
        <v>услуга 15</v>
      </c>
      <c r="E265" s="71"/>
      <c r="F265" s="71">
        <f t="shared" si="140"/>
        <v>0</v>
      </c>
      <c r="G265" s="71">
        <v>7570</v>
      </c>
      <c r="H265" s="73">
        <f t="shared" si="149"/>
        <v>0</v>
      </c>
      <c r="I265" s="73"/>
      <c r="J265" s="71"/>
      <c r="K265" s="74">
        <f t="shared" si="143"/>
        <v>0</v>
      </c>
      <c r="L265" s="71">
        <f t="shared" si="141"/>
        <v>1800</v>
      </c>
      <c r="M265" s="71">
        <f t="shared" si="144"/>
        <v>0</v>
      </c>
      <c r="N265" s="71"/>
      <c r="O265" s="71"/>
      <c r="P265" s="75">
        <f t="shared" si="145"/>
        <v>0</v>
      </c>
      <c r="Q265" s="74">
        <f t="shared" si="146"/>
        <v>0</v>
      </c>
      <c r="R265" s="74">
        <f t="shared" si="147"/>
        <v>0</v>
      </c>
      <c r="S265" s="76">
        <f t="shared" si="148"/>
        <v>0</v>
      </c>
    </row>
    <row r="266" spans="1:19" s="39" customFormat="1" ht="12.75" hidden="1">
      <c r="A266" s="69">
        <v>5</v>
      </c>
      <c r="B266" s="70"/>
      <c r="C266" s="71" t="s">
        <v>52</v>
      </c>
      <c r="D266" s="72" t="str">
        <f t="shared" si="142"/>
        <v>услуга 15</v>
      </c>
      <c r="E266" s="71"/>
      <c r="F266" s="71">
        <f t="shared" si="140"/>
        <v>0</v>
      </c>
      <c r="G266" s="71">
        <v>7570</v>
      </c>
      <c r="H266" s="73">
        <f t="shared" si="149"/>
        <v>0</v>
      </c>
      <c r="I266" s="73"/>
      <c r="J266" s="71"/>
      <c r="K266" s="74">
        <f t="shared" si="143"/>
        <v>0</v>
      </c>
      <c r="L266" s="71">
        <f t="shared" si="141"/>
        <v>1800</v>
      </c>
      <c r="M266" s="71">
        <f t="shared" si="144"/>
        <v>0</v>
      </c>
      <c r="N266" s="71"/>
      <c r="O266" s="71"/>
      <c r="P266" s="75">
        <f t="shared" si="145"/>
        <v>0</v>
      </c>
      <c r="Q266" s="74">
        <f t="shared" si="146"/>
        <v>0</v>
      </c>
      <c r="R266" s="74">
        <f t="shared" si="147"/>
        <v>0</v>
      </c>
      <c r="S266" s="76">
        <f t="shared" si="148"/>
        <v>0</v>
      </c>
    </row>
    <row r="267" spans="1:19" s="39" customFormat="1" ht="12.75" hidden="1">
      <c r="A267" s="69">
        <v>6</v>
      </c>
      <c r="B267" s="70"/>
      <c r="C267" s="71" t="s">
        <v>52</v>
      </c>
      <c r="D267" s="72" t="str">
        <f t="shared" si="142"/>
        <v>услуга 15</v>
      </c>
      <c r="E267" s="71"/>
      <c r="F267" s="71">
        <f t="shared" si="140"/>
        <v>0</v>
      </c>
      <c r="G267" s="71">
        <v>7570</v>
      </c>
      <c r="H267" s="73">
        <f t="shared" si="149"/>
        <v>0</v>
      </c>
      <c r="I267" s="73"/>
      <c r="J267" s="71"/>
      <c r="K267" s="74">
        <f t="shared" si="143"/>
        <v>0</v>
      </c>
      <c r="L267" s="71">
        <f t="shared" si="141"/>
        <v>1800</v>
      </c>
      <c r="M267" s="71">
        <f t="shared" si="144"/>
        <v>0</v>
      </c>
      <c r="N267" s="71"/>
      <c r="O267" s="71"/>
      <c r="P267" s="75">
        <f t="shared" si="145"/>
        <v>0</v>
      </c>
      <c r="Q267" s="74">
        <f t="shared" si="146"/>
        <v>0</v>
      </c>
      <c r="R267" s="74">
        <f t="shared" si="147"/>
        <v>0</v>
      </c>
      <c r="S267" s="76">
        <f t="shared" si="148"/>
        <v>0</v>
      </c>
    </row>
    <row r="268" spans="1:19" s="39" customFormat="1" ht="12.75" hidden="1">
      <c r="A268" s="69">
        <v>7</v>
      </c>
      <c r="B268" s="70"/>
      <c r="C268" s="71" t="s">
        <v>52</v>
      </c>
      <c r="D268" s="72" t="str">
        <f t="shared" si="142"/>
        <v>услуга 15</v>
      </c>
      <c r="E268" s="71"/>
      <c r="F268" s="71">
        <f t="shared" si="140"/>
        <v>0</v>
      </c>
      <c r="G268" s="71">
        <v>7570</v>
      </c>
      <c r="H268" s="73">
        <f t="shared" si="149"/>
        <v>0</v>
      </c>
      <c r="I268" s="73"/>
      <c r="J268" s="71"/>
      <c r="K268" s="74">
        <f t="shared" si="143"/>
        <v>0</v>
      </c>
      <c r="L268" s="71">
        <f t="shared" si="141"/>
        <v>1800</v>
      </c>
      <c r="M268" s="71">
        <f t="shared" si="144"/>
        <v>0</v>
      </c>
      <c r="N268" s="71"/>
      <c r="O268" s="71"/>
      <c r="P268" s="75">
        <f t="shared" si="145"/>
        <v>0</v>
      </c>
      <c r="Q268" s="74">
        <f t="shared" si="146"/>
        <v>0</v>
      </c>
      <c r="R268" s="74">
        <f t="shared" si="147"/>
        <v>0</v>
      </c>
      <c r="S268" s="76">
        <f t="shared" si="148"/>
        <v>0</v>
      </c>
    </row>
    <row r="269" spans="1:19" s="39" customFormat="1" ht="12.75" hidden="1">
      <c r="A269" s="69">
        <v>8</v>
      </c>
      <c r="B269" s="70"/>
      <c r="C269" s="71" t="s">
        <v>52</v>
      </c>
      <c r="D269" s="72" t="str">
        <f t="shared" si="142"/>
        <v>услуга 15</v>
      </c>
      <c r="E269" s="71"/>
      <c r="F269" s="71">
        <f t="shared" si="140"/>
        <v>0</v>
      </c>
      <c r="G269" s="71">
        <v>7570</v>
      </c>
      <c r="H269" s="73">
        <f t="shared" si="149"/>
        <v>0</v>
      </c>
      <c r="I269" s="73"/>
      <c r="J269" s="71"/>
      <c r="K269" s="74">
        <f t="shared" si="143"/>
        <v>0</v>
      </c>
      <c r="L269" s="71">
        <f t="shared" si="141"/>
        <v>1800</v>
      </c>
      <c r="M269" s="71">
        <f t="shared" si="144"/>
        <v>0</v>
      </c>
      <c r="N269" s="71"/>
      <c r="O269" s="71"/>
      <c r="P269" s="75">
        <f t="shared" si="145"/>
        <v>0</v>
      </c>
      <c r="Q269" s="74">
        <f t="shared" si="146"/>
        <v>0</v>
      </c>
      <c r="R269" s="74">
        <f t="shared" si="147"/>
        <v>0</v>
      </c>
      <c r="S269" s="76">
        <f t="shared" si="148"/>
        <v>0</v>
      </c>
    </row>
    <row r="270" spans="1:19" s="39" customFormat="1" ht="12.75" hidden="1">
      <c r="A270" s="69">
        <v>9</v>
      </c>
      <c r="B270" s="70"/>
      <c r="C270" s="71" t="s">
        <v>52</v>
      </c>
      <c r="D270" s="72" t="str">
        <f t="shared" si="142"/>
        <v>услуга 15</v>
      </c>
      <c r="E270" s="71"/>
      <c r="F270" s="71">
        <f t="shared" si="140"/>
        <v>0</v>
      </c>
      <c r="G270" s="71">
        <v>7570</v>
      </c>
      <c r="H270" s="73">
        <f t="shared" si="149"/>
        <v>0</v>
      </c>
      <c r="I270" s="73"/>
      <c r="J270" s="71"/>
      <c r="K270" s="74">
        <f t="shared" si="143"/>
        <v>0</v>
      </c>
      <c r="L270" s="71">
        <f t="shared" si="141"/>
        <v>1800</v>
      </c>
      <c r="M270" s="71">
        <f t="shared" si="144"/>
        <v>0</v>
      </c>
      <c r="N270" s="71"/>
      <c r="O270" s="71"/>
      <c r="P270" s="75">
        <f t="shared" si="145"/>
        <v>0</v>
      </c>
      <c r="Q270" s="74">
        <f t="shared" si="146"/>
        <v>0</v>
      </c>
      <c r="R270" s="74">
        <f t="shared" si="147"/>
        <v>0</v>
      </c>
      <c r="S270" s="76">
        <f t="shared" si="148"/>
        <v>0</v>
      </c>
    </row>
    <row r="271" spans="1:19" s="39" customFormat="1" ht="12.75" hidden="1">
      <c r="A271" s="69">
        <v>10</v>
      </c>
      <c r="B271" s="70"/>
      <c r="C271" s="71" t="s">
        <v>52</v>
      </c>
      <c r="D271" s="72" t="str">
        <f t="shared" si="142"/>
        <v>услуга 15</v>
      </c>
      <c r="E271" s="71"/>
      <c r="F271" s="71">
        <f t="shared" si="140"/>
        <v>0</v>
      </c>
      <c r="G271" s="71">
        <v>7570</v>
      </c>
      <c r="H271" s="73">
        <f t="shared" si="149"/>
        <v>0</v>
      </c>
      <c r="I271" s="73"/>
      <c r="J271" s="71"/>
      <c r="K271" s="74">
        <f t="shared" si="143"/>
        <v>0</v>
      </c>
      <c r="L271" s="71">
        <f t="shared" si="141"/>
        <v>1800</v>
      </c>
      <c r="M271" s="71">
        <f t="shared" si="144"/>
        <v>0</v>
      </c>
      <c r="N271" s="71"/>
      <c r="O271" s="71"/>
      <c r="P271" s="75">
        <f t="shared" si="145"/>
        <v>0</v>
      </c>
      <c r="Q271" s="74">
        <f t="shared" si="146"/>
        <v>0</v>
      </c>
      <c r="R271" s="74">
        <f t="shared" si="147"/>
        <v>0</v>
      </c>
      <c r="S271" s="76">
        <f t="shared" si="148"/>
        <v>0</v>
      </c>
    </row>
    <row r="272" spans="1:19" s="39" customFormat="1" ht="13.5" hidden="1" thickBot="1">
      <c r="A272" s="113"/>
      <c r="B272" s="114"/>
      <c r="C272" s="114"/>
      <c r="D272" s="114" t="s">
        <v>53</v>
      </c>
      <c r="E272" s="114"/>
      <c r="F272" s="115">
        <f>SUM(F262:F271)</f>
        <v>0</v>
      </c>
      <c r="G272" s="114"/>
      <c r="H272" s="114"/>
      <c r="I272" s="114"/>
      <c r="J272" s="114"/>
      <c r="K272" s="116"/>
      <c r="L272" s="114"/>
      <c r="M272" s="117">
        <f>SUM(M262:M271)</f>
        <v>0</v>
      </c>
      <c r="N272" s="117">
        <f>SUM(N262:N271)</f>
        <v>0</v>
      </c>
      <c r="O272" s="117">
        <f>SUM(O262:O271)</f>
        <v>0</v>
      </c>
      <c r="P272" s="114"/>
      <c r="Q272" s="115">
        <f>SUM(Q262:Q271)</f>
        <v>0</v>
      </c>
      <c r="R272" s="115">
        <f>SUM(R262:R271)</f>
        <v>0</v>
      </c>
      <c r="S272" s="143">
        <f>SUM(S262:S271)</f>
        <v>0</v>
      </c>
    </row>
    <row r="273" spans="1:19" s="39" customFormat="1" ht="12.75" hidden="1">
      <c r="A273" s="118"/>
      <c r="B273" s="92"/>
      <c r="C273" s="92"/>
      <c r="D273" s="92"/>
      <c r="E273" s="92"/>
      <c r="F273" s="93"/>
      <c r="G273" s="92"/>
      <c r="H273" s="92"/>
      <c r="I273" s="92"/>
      <c r="J273" s="92"/>
      <c r="K273" s="94"/>
      <c r="L273" s="92"/>
      <c r="M273" s="95"/>
      <c r="N273" s="95">
        <f>доходы!C26</f>
        <v>0</v>
      </c>
      <c r="O273" s="96" t="s">
        <v>116</v>
      </c>
      <c r="P273" s="119"/>
      <c r="Q273" s="120"/>
      <c r="R273" s="121"/>
      <c r="S273" s="136"/>
    </row>
    <row r="274" spans="1:19" s="39" customFormat="1" ht="12.75" hidden="1">
      <c r="A274" s="137" t="s">
        <v>130</v>
      </c>
      <c r="B274" s="138" t="str">
        <f>доходы!B27</f>
        <v>услуга 16</v>
      </c>
      <c r="C274" s="92"/>
      <c r="D274" s="92"/>
      <c r="E274" s="92"/>
      <c r="F274" s="139"/>
      <c r="G274" s="139"/>
      <c r="H274" s="139"/>
      <c r="I274" s="139"/>
      <c r="J274" s="139"/>
      <c r="K274" s="140"/>
      <c r="L274" s="139"/>
      <c r="M274" s="139"/>
      <c r="N274" s="139"/>
      <c r="O274" s="139"/>
      <c r="P274" s="139"/>
      <c r="Q274" s="139"/>
      <c r="R274" s="139"/>
      <c r="S274" s="141"/>
    </row>
    <row r="275" spans="1:19" s="39" customFormat="1" ht="13.5" hidden="1" thickBot="1">
      <c r="A275" s="142"/>
      <c r="B275" s="139"/>
      <c r="C275" s="139"/>
      <c r="D275" s="139"/>
      <c r="E275" s="139"/>
      <c r="F275" s="139"/>
      <c r="G275" s="139"/>
      <c r="H275" s="139"/>
      <c r="I275" s="139"/>
      <c r="J275" s="139"/>
      <c r="K275" s="140"/>
      <c r="L275" s="139"/>
      <c r="M275" s="139"/>
      <c r="N275" s="139"/>
      <c r="O275" s="139"/>
      <c r="P275" s="139"/>
      <c r="Q275" s="139"/>
      <c r="R275" s="139"/>
      <c r="S275" s="141"/>
    </row>
    <row r="276" spans="1:19" s="39" customFormat="1" ht="51.75" hidden="1" thickBot="1">
      <c r="A276" s="99" t="s">
        <v>1</v>
      </c>
      <c r="B276" s="99" t="s">
        <v>2</v>
      </c>
      <c r="C276" s="99" t="s">
        <v>8</v>
      </c>
      <c r="D276" s="99" t="s">
        <v>3</v>
      </c>
      <c r="E276" s="99" t="s">
        <v>4</v>
      </c>
      <c r="F276" s="99" t="s">
        <v>5</v>
      </c>
      <c r="G276" s="99" t="s">
        <v>64</v>
      </c>
      <c r="H276" s="99" t="s">
        <v>117</v>
      </c>
      <c r="I276" s="99" t="s">
        <v>99</v>
      </c>
      <c r="J276" s="99" t="s">
        <v>65</v>
      </c>
      <c r="K276" s="100" t="s">
        <v>66</v>
      </c>
      <c r="L276" s="99" t="s">
        <v>67</v>
      </c>
      <c r="M276" s="99" t="s">
        <v>6</v>
      </c>
      <c r="N276" s="99" t="s">
        <v>54</v>
      </c>
      <c r="O276" s="99" t="s">
        <v>7</v>
      </c>
      <c r="P276" s="99" t="s">
        <v>48</v>
      </c>
      <c r="Q276" s="99" t="s">
        <v>49</v>
      </c>
      <c r="R276" s="99" t="s">
        <v>50</v>
      </c>
      <c r="S276" s="99" t="s">
        <v>51</v>
      </c>
    </row>
    <row r="277" spans="1:19" s="39" customFormat="1" ht="12.75" hidden="1">
      <c r="A277" s="101">
        <v>1</v>
      </c>
      <c r="B277" s="102">
        <v>2</v>
      </c>
      <c r="C277" s="102">
        <v>3</v>
      </c>
      <c r="D277" s="102">
        <v>4</v>
      </c>
      <c r="E277" s="102">
        <v>5</v>
      </c>
      <c r="F277" s="102">
        <v>6</v>
      </c>
      <c r="G277" s="102">
        <v>7</v>
      </c>
      <c r="H277" s="102">
        <v>8</v>
      </c>
      <c r="I277" s="102">
        <v>9</v>
      </c>
      <c r="J277" s="102">
        <v>10</v>
      </c>
      <c r="K277" s="104">
        <v>11</v>
      </c>
      <c r="L277" s="102">
        <v>12</v>
      </c>
      <c r="M277" s="102">
        <v>13</v>
      </c>
      <c r="N277" s="102">
        <v>14</v>
      </c>
      <c r="O277" s="102">
        <v>15</v>
      </c>
      <c r="P277" s="102">
        <v>16</v>
      </c>
      <c r="Q277" s="102">
        <v>17</v>
      </c>
      <c r="R277" s="102">
        <v>18</v>
      </c>
      <c r="S277" s="105">
        <v>19</v>
      </c>
    </row>
    <row r="278" spans="1:19" s="39" customFormat="1" ht="12.75" hidden="1">
      <c r="A278" s="69">
        <v>1</v>
      </c>
      <c r="B278" s="70" t="s">
        <v>118</v>
      </c>
      <c r="C278" s="71" t="s">
        <v>52</v>
      </c>
      <c r="D278" s="72" t="str">
        <f>B$274</f>
        <v>услуга 16</v>
      </c>
      <c r="E278" s="71"/>
      <c r="F278" s="71">
        <f aca="true" t="shared" si="150" ref="F278:F287">ROUND(O278/18/4,2)</f>
        <v>0</v>
      </c>
      <c r="G278" s="71">
        <v>7570</v>
      </c>
      <c r="H278" s="73">
        <v>0.15</v>
      </c>
      <c r="I278" s="73">
        <v>0</v>
      </c>
      <c r="J278" s="71"/>
      <c r="K278" s="74">
        <f>(G278+G278*(H278+I278))*J278</f>
        <v>0</v>
      </c>
      <c r="L278" s="71">
        <f aca="true" t="shared" si="151" ref="L278:L287">18*25*4</f>
        <v>1800</v>
      </c>
      <c r="M278" s="71">
        <f>N278*O278</f>
        <v>0</v>
      </c>
      <c r="N278" s="71"/>
      <c r="O278" s="71"/>
      <c r="P278" s="75">
        <f>ROUND(K278/L278,2)</f>
        <v>0</v>
      </c>
      <c r="Q278" s="74">
        <f>N278*O278*P278</f>
        <v>0</v>
      </c>
      <c r="R278" s="74">
        <f>Q278*0.15</f>
        <v>0</v>
      </c>
      <c r="S278" s="76">
        <f>Q278+R278</f>
        <v>0</v>
      </c>
    </row>
    <row r="279" spans="1:19" s="39" customFormat="1" ht="12.75" hidden="1">
      <c r="A279" s="69">
        <v>2</v>
      </c>
      <c r="B279" s="70"/>
      <c r="C279" s="71" t="s">
        <v>52</v>
      </c>
      <c r="D279" s="72" t="str">
        <f aca="true" t="shared" si="152" ref="D279:D287">B$274</f>
        <v>услуга 16</v>
      </c>
      <c r="E279" s="71"/>
      <c r="F279" s="71">
        <f t="shared" si="150"/>
        <v>0</v>
      </c>
      <c r="G279" s="71">
        <v>7570</v>
      </c>
      <c r="H279" s="73">
        <f>H$24</f>
        <v>0</v>
      </c>
      <c r="I279" s="73">
        <v>0</v>
      </c>
      <c r="J279" s="71"/>
      <c r="K279" s="74">
        <f aca="true" t="shared" si="153" ref="K279:K287">(G279+G279*(H279+I279))*J279</f>
        <v>0</v>
      </c>
      <c r="L279" s="71">
        <f t="shared" si="151"/>
        <v>1800</v>
      </c>
      <c r="M279" s="71">
        <f aca="true" t="shared" si="154" ref="M279:M287">N279*O279</f>
        <v>0</v>
      </c>
      <c r="N279" s="71"/>
      <c r="O279" s="71"/>
      <c r="P279" s="75">
        <f aca="true" t="shared" si="155" ref="P279:P287">ROUND(K279/L279,2)</f>
        <v>0</v>
      </c>
      <c r="Q279" s="74">
        <f aca="true" t="shared" si="156" ref="Q279:Q287">N279*O279*P279</f>
        <v>0</v>
      </c>
      <c r="R279" s="74">
        <f aca="true" t="shared" si="157" ref="R279:R287">Q279*0.15</f>
        <v>0</v>
      </c>
      <c r="S279" s="76">
        <f aca="true" t="shared" si="158" ref="S279:S287">Q279+R279</f>
        <v>0</v>
      </c>
    </row>
    <row r="280" spans="1:19" s="39" customFormat="1" ht="12.75" hidden="1">
      <c r="A280" s="69">
        <v>3</v>
      </c>
      <c r="B280" s="70"/>
      <c r="C280" s="71" t="s">
        <v>52</v>
      </c>
      <c r="D280" s="72" t="str">
        <f t="shared" si="152"/>
        <v>услуга 16</v>
      </c>
      <c r="E280" s="71"/>
      <c r="F280" s="71">
        <f t="shared" si="150"/>
        <v>0</v>
      </c>
      <c r="G280" s="71">
        <v>7570</v>
      </c>
      <c r="H280" s="73">
        <f aca="true" t="shared" si="159" ref="H280:H287">H$24</f>
        <v>0</v>
      </c>
      <c r="I280" s="73"/>
      <c r="J280" s="71"/>
      <c r="K280" s="74">
        <f t="shared" si="153"/>
        <v>0</v>
      </c>
      <c r="L280" s="71">
        <f t="shared" si="151"/>
        <v>1800</v>
      </c>
      <c r="M280" s="71">
        <f t="shared" si="154"/>
        <v>0</v>
      </c>
      <c r="N280" s="71"/>
      <c r="O280" s="71"/>
      <c r="P280" s="75">
        <f t="shared" si="155"/>
        <v>0</v>
      </c>
      <c r="Q280" s="74">
        <f t="shared" si="156"/>
        <v>0</v>
      </c>
      <c r="R280" s="74">
        <f t="shared" si="157"/>
        <v>0</v>
      </c>
      <c r="S280" s="76">
        <f t="shared" si="158"/>
        <v>0</v>
      </c>
    </row>
    <row r="281" spans="1:19" s="39" customFormat="1" ht="12.75" hidden="1">
      <c r="A281" s="69">
        <v>4</v>
      </c>
      <c r="B281" s="70"/>
      <c r="C281" s="71" t="s">
        <v>52</v>
      </c>
      <c r="D281" s="72" t="str">
        <f t="shared" si="152"/>
        <v>услуга 16</v>
      </c>
      <c r="E281" s="71"/>
      <c r="F281" s="71">
        <f t="shared" si="150"/>
        <v>0</v>
      </c>
      <c r="G281" s="71">
        <v>7570</v>
      </c>
      <c r="H281" s="73">
        <f t="shared" si="159"/>
        <v>0</v>
      </c>
      <c r="I281" s="73"/>
      <c r="J281" s="71"/>
      <c r="K281" s="74">
        <f t="shared" si="153"/>
        <v>0</v>
      </c>
      <c r="L281" s="71">
        <f t="shared" si="151"/>
        <v>1800</v>
      </c>
      <c r="M281" s="71">
        <f t="shared" si="154"/>
        <v>0</v>
      </c>
      <c r="N281" s="71"/>
      <c r="O281" s="71"/>
      <c r="P281" s="75">
        <f t="shared" si="155"/>
        <v>0</v>
      </c>
      <c r="Q281" s="74">
        <f t="shared" si="156"/>
        <v>0</v>
      </c>
      <c r="R281" s="74">
        <f t="shared" si="157"/>
        <v>0</v>
      </c>
      <c r="S281" s="76">
        <f t="shared" si="158"/>
        <v>0</v>
      </c>
    </row>
    <row r="282" spans="1:19" s="39" customFormat="1" ht="12.75" hidden="1">
      <c r="A282" s="69">
        <v>5</v>
      </c>
      <c r="B282" s="70"/>
      <c r="C282" s="71" t="s">
        <v>52</v>
      </c>
      <c r="D282" s="72" t="str">
        <f t="shared" si="152"/>
        <v>услуга 16</v>
      </c>
      <c r="E282" s="71"/>
      <c r="F282" s="71">
        <f t="shared" si="150"/>
        <v>0</v>
      </c>
      <c r="G282" s="71">
        <v>7570</v>
      </c>
      <c r="H282" s="73">
        <f t="shared" si="159"/>
        <v>0</v>
      </c>
      <c r="I282" s="73"/>
      <c r="J282" s="71"/>
      <c r="K282" s="74">
        <f t="shared" si="153"/>
        <v>0</v>
      </c>
      <c r="L282" s="71">
        <f t="shared" si="151"/>
        <v>1800</v>
      </c>
      <c r="M282" s="71">
        <f t="shared" si="154"/>
        <v>0</v>
      </c>
      <c r="N282" s="71"/>
      <c r="O282" s="71"/>
      <c r="P282" s="75">
        <f t="shared" si="155"/>
        <v>0</v>
      </c>
      <c r="Q282" s="74">
        <f t="shared" si="156"/>
        <v>0</v>
      </c>
      <c r="R282" s="74">
        <f t="shared" si="157"/>
        <v>0</v>
      </c>
      <c r="S282" s="76">
        <f t="shared" si="158"/>
        <v>0</v>
      </c>
    </row>
    <row r="283" spans="1:19" s="39" customFormat="1" ht="12.75" hidden="1">
      <c r="A283" s="69">
        <v>6</v>
      </c>
      <c r="B283" s="70"/>
      <c r="C283" s="71" t="s">
        <v>52</v>
      </c>
      <c r="D283" s="72" t="str">
        <f t="shared" si="152"/>
        <v>услуга 16</v>
      </c>
      <c r="E283" s="71"/>
      <c r="F283" s="71">
        <f t="shared" si="150"/>
        <v>0</v>
      </c>
      <c r="G283" s="71">
        <v>7570</v>
      </c>
      <c r="H283" s="73">
        <f t="shared" si="159"/>
        <v>0</v>
      </c>
      <c r="I283" s="73"/>
      <c r="J283" s="71"/>
      <c r="K283" s="74">
        <f t="shared" si="153"/>
        <v>0</v>
      </c>
      <c r="L283" s="71">
        <f t="shared" si="151"/>
        <v>1800</v>
      </c>
      <c r="M283" s="71">
        <f t="shared" si="154"/>
        <v>0</v>
      </c>
      <c r="N283" s="71"/>
      <c r="O283" s="71"/>
      <c r="P283" s="75">
        <f t="shared" si="155"/>
        <v>0</v>
      </c>
      <c r="Q283" s="74">
        <f t="shared" si="156"/>
        <v>0</v>
      </c>
      <c r="R283" s="74">
        <f t="shared" si="157"/>
        <v>0</v>
      </c>
      <c r="S283" s="76">
        <f t="shared" si="158"/>
        <v>0</v>
      </c>
    </row>
    <row r="284" spans="1:19" s="39" customFormat="1" ht="12.75" hidden="1">
      <c r="A284" s="69">
        <v>7</v>
      </c>
      <c r="B284" s="70"/>
      <c r="C284" s="71" t="s">
        <v>52</v>
      </c>
      <c r="D284" s="72" t="str">
        <f t="shared" si="152"/>
        <v>услуга 16</v>
      </c>
      <c r="E284" s="71"/>
      <c r="F284" s="71">
        <f t="shared" si="150"/>
        <v>0</v>
      </c>
      <c r="G284" s="71">
        <v>7570</v>
      </c>
      <c r="H284" s="73">
        <f t="shared" si="159"/>
        <v>0</v>
      </c>
      <c r="I284" s="73"/>
      <c r="J284" s="71"/>
      <c r="K284" s="74">
        <f t="shared" si="153"/>
        <v>0</v>
      </c>
      <c r="L284" s="71">
        <f t="shared" si="151"/>
        <v>1800</v>
      </c>
      <c r="M284" s="71">
        <f t="shared" si="154"/>
        <v>0</v>
      </c>
      <c r="N284" s="71"/>
      <c r="O284" s="71"/>
      <c r="P284" s="75">
        <f t="shared" si="155"/>
        <v>0</v>
      </c>
      <c r="Q284" s="74">
        <f t="shared" si="156"/>
        <v>0</v>
      </c>
      <c r="R284" s="74">
        <f t="shared" si="157"/>
        <v>0</v>
      </c>
      <c r="S284" s="76">
        <f t="shared" si="158"/>
        <v>0</v>
      </c>
    </row>
    <row r="285" spans="1:19" s="39" customFormat="1" ht="12.75" hidden="1">
      <c r="A285" s="69">
        <v>8</v>
      </c>
      <c r="B285" s="70"/>
      <c r="C285" s="71" t="s">
        <v>52</v>
      </c>
      <c r="D285" s="72" t="str">
        <f t="shared" si="152"/>
        <v>услуга 16</v>
      </c>
      <c r="E285" s="71"/>
      <c r="F285" s="71">
        <f t="shared" si="150"/>
        <v>0</v>
      </c>
      <c r="G285" s="71">
        <v>7570</v>
      </c>
      <c r="H285" s="73">
        <f t="shared" si="159"/>
        <v>0</v>
      </c>
      <c r="I285" s="73"/>
      <c r="J285" s="71"/>
      <c r="K285" s="74">
        <f t="shared" si="153"/>
        <v>0</v>
      </c>
      <c r="L285" s="71">
        <f t="shared" si="151"/>
        <v>1800</v>
      </c>
      <c r="M285" s="71">
        <f t="shared" si="154"/>
        <v>0</v>
      </c>
      <c r="N285" s="71"/>
      <c r="O285" s="71"/>
      <c r="P285" s="75">
        <f t="shared" si="155"/>
        <v>0</v>
      </c>
      <c r="Q285" s="74">
        <f t="shared" si="156"/>
        <v>0</v>
      </c>
      <c r="R285" s="74">
        <f t="shared" si="157"/>
        <v>0</v>
      </c>
      <c r="S285" s="76">
        <f t="shared" si="158"/>
        <v>0</v>
      </c>
    </row>
    <row r="286" spans="1:19" s="39" customFormat="1" ht="12.75" hidden="1">
      <c r="A286" s="69">
        <v>9</v>
      </c>
      <c r="B286" s="70"/>
      <c r="C286" s="71" t="s">
        <v>52</v>
      </c>
      <c r="D286" s="72" t="str">
        <f t="shared" si="152"/>
        <v>услуга 16</v>
      </c>
      <c r="E286" s="71"/>
      <c r="F286" s="71">
        <f t="shared" si="150"/>
        <v>0</v>
      </c>
      <c r="G286" s="71">
        <v>7570</v>
      </c>
      <c r="H286" s="73">
        <f t="shared" si="159"/>
        <v>0</v>
      </c>
      <c r="I286" s="73"/>
      <c r="J286" s="71"/>
      <c r="K286" s="74">
        <f t="shared" si="153"/>
        <v>0</v>
      </c>
      <c r="L286" s="71">
        <f t="shared" si="151"/>
        <v>1800</v>
      </c>
      <c r="M286" s="71">
        <f t="shared" si="154"/>
        <v>0</v>
      </c>
      <c r="N286" s="71"/>
      <c r="O286" s="71"/>
      <c r="P286" s="75">
        <f t="shared" si="155"/>
        <v>0</v>
      </c>
      <c r="Q286" s="74">
        <f t="shared" si="156"/>
        <v>0</v>
      </c>
      <c r="R286" s="74">
        <f t="shared" si="157"/>
        <v>0</v>
      </c>
      <c r="S286" s="76">
        <f t="shared" si="158"/>
        <v>0</v>
      </c>
    </row>
    <row r="287" spans="1:19" s="39" customFormat="1" ht="12.75" hidden="1">
      <c r="A287" s="69">
        <v>10</v>
      </c>
      <c r="B287" s="70"/>
      <c r="C287" s="71" t="s">
        <v>52</v>
      </c>
      <c r="D287" s="72" t="str">
        <f t="shared" si="152"/>
        <v>услуга 16</v>
      </c>
      <c r="E287" s="71"/>
      <c r="F287" s="71">
        <f t="shared" si="150"/>
        <v>0</v>
      </c>
      <c r="G287" s="71">
        <v>7570</v>
      </c>
      <c r="H287" s="73">
        <f t="shared" si="159"/>
        <v>0</v>
      </c>
      <c r="I287" s="73"/>
      <c r="J287" s="71"/>
      <c r="K287" s="74">
        <f t="shared" si="153"/>
        <v>0</v>
      </c>
      <c r="L287" s="71">
        <f t="shared" si="151"/>
        <v>1800</v>
      </c>
      <c r="M287" s="71">
        <f t="shared" si="154"/>
        <v>0</v>
      </c>
      <c r="N287" s="71"/>
      <c r="O287" s="71"/>
      <c r="P287" s="75">
        <f t="shared" si="155"/>
        <v>0</v>
      </c>
      <c r="Q287" s="74">
        <f t="shared" si="156"/>
        <v>0</v>
      </c>
      <c r="R287" s="74">
        <f t="shared" si="157"/>
        <v>0</v>
      </c>
      <c r="S287" s="76">
        <f t="shared" si="158"/>
        <v>0</v>
      </c>
    </row>
    <row r="288" spans="1:19" s="39" customFormat="1" ht="13.5" hidden="1" thickBot="1">
      <c r="A288" s="113"/>
      <c r="B288" s="114"/>
      <c r="C288" s="114"/>
      <c r="D288" s="114" t="s">
        <v>53</v>
      </c>
      <c r="E288" s="114"/>
      <c r="F288" s="115">
        <f>SUM(F278:F287)</f>
        <v>0</v>
      </c>
      <c r="G288" s="114"/>
      <c r="H288" s="114"/>
      <c r="I288" s="114"/>
      <c r="J288" s="114"/>
      <c r="K288" s="116"/>
      <c r="L288" s="114"/>
      <c r="M288" s="117">
        <f>SUM(M278:M287)</f>
        <v>0</v>
      </c>
      <c r="N288" s="117">
        <f>SUM(N278:N287)</f>
        <v>0</v>
      </c>
      <c r="O288" s="117">
        <f>SUM(O278:O287)</f>
        <v>0</v>
      </c>
      <c r="P288" s="114"/>
      <c r="Q288" s="115">
        <f>SUM(Q278:Q287)</f>
        <v>0</v>
      </c>
      <c r="R288" s="115">
        <f>SUM(R278:R287)</f>
        <v>0</v>
      </c>
      <c r="S288" s="143">
        <f>SUM(S278:S287)</f>
        <v>0</v>
      </c>
    </row>
    <row r="289" spans="1:19" s="39" customFormat="1" ht="12.75" hidden="1">
      <c r="A289" s="118"/>
      <c r="B289" s="92"/>
      <c r="C289" s="92"/>
      <c r="D289" s="92"/>
      <c r="E289" s="92"/>
      <c r="F289" s="93"/>
      <c r="G289" s="92"/>
      <c r="H289" s="92"/>
      <c r="I289" s="92"/>
      <c r="J289" s="92"/>
      <c r="K289" s="94"/>
      <c r="L289" s="92"/>
      <c r="M289" s="95"/>
      <c r="N289" s="95">
        <f>доходы!C27</f>
        <v>0</v>
      </c>
      <c r="O289" s="96" t="s">
        <v>116</v>
      </c>
      <c r="P289" s="119"/>
      <c r="Q289" s="120"/>
      <c r="R289" s="121"/>
      <c r="S289" s="136"/>
    </row>
    <row r="290" spans="1:19" s="39" customFormat="1" ht="12.75" hidden="1">
      <c r="A290" s="137" t="s">
        <v>131</v>
      </c>
      <c r="B290" s="138" t="str">
        <f>доходы!B28</f>
        <v>услуга 17</v>
      </c>
      <c r="C290" s="92"/>
      <c r="D290" s="92"/>
      <c r="E290" s="92"/>
      <c r="F290" s="139"/>
      <c r="G290" s="139"/>
      <c r="H290" s="139"/>
      <c r="I290" s="139"/>
      <c r="J290" s="139"/>
      <c r="K290" s="140"/>
      <c r="L290" s="139"/>
      <c r="M290" s="139"/>
      <c r="N290" s="139"/>
      <c r="O290" s="139"/>
      <c r="P290" s="139"/>
      <c r="Q290" s="139"/>
      <c r="R290" s="139"/>
      <c r="S290" s="141"/>
    </row>
    <row r="291" spans="1:19" s="39" customFormat="1" ht="13.5" hidden="1" thickBot="1">
      <c r="A291" s="142"/>
      <c r="B291" s="139"/>
      <c r="C291" s="139"/>
      <c r="D291" s="139"/>
      <c r="E291" s="139"/>
      <c r="F291" s="139"/>
      <c r="G291" s="139"/>
      <c r="H291" s="139"/>
      <c r="I291" s="139"/>
      <c r="J291" s="139"/>
      <c r="K291" s="140"/>
      <c r="L291" s="139"/>
      <c r="M291" s="139"/>
      <c r="N291" s="139"/>
      <c r="O291" s="139"/>
      <c r="P291" s="139"/>
      <c r="Q291" s="139"/>
      <c r="R291" s="139"/>
      <c r="S291" s="141"/>
    </row>
    <row r="292" spans="1:19" s="39" customFormat="1" ht="51.75" hidden="1" thickBot="1">
      <c r="A292" s="99" t="s">
        <v>1</v>
      </c>
      <c r="B292" s="99" t="s">
        <v>2</v>
      </c>
      <c r="C292" s="99" t="s">
        <v>8</v>
      </c>
      <c r="D292" s="99" t="s">
        <v>3</v>
      </c>
      <c r="E292" s="99" t="s">
        <v>4</v>
      </c>
      <c r="F292" s="99" t="s">
        <v>5</v>
      </c>
      <c r="G292" s="99" t="s">
        <v>64</v>
      </c>
      <c r="H292" s="99" t="s">
        <v>117</v>
      </c>
      <c r="I292" s="99" t="s">
        <v>99</v>
      </c>
      <c r="J292" s="99" t="s">
        <v>65</v>
      </c>
      <c r="K292" s="100" t="s">
        <v>66</v>
      </c>
      <c r="L292" s="99" t="s">
        <v>67</v>
      </c>
      <c r="M292" s="99" t="s">
        <v>6</v>
      </c>
      <c r="N292" s="99" t="s">
        <v>54</v>
      </c>
      <c r="O292" s="99" t="s">
        <v>7</v>
      </c>
      <c r="P292" s="99" t="s">
        <v>48</v>
      </c>
      <c r="Q292" s="99" t="s">
        <v>49</v>
      </c>
      <c r="R292" s="99" t="s">
        <v>50</v>
      </c>
      <c r="S292" s="99" t="s">
        <v>51</v>
      </c>
    </row>
    <row r="293" spans="1:19" s="39" customFormat="1" ht="12.75" hidden="1">
      <c r="A293" s="101">
        <v>1</v>
      </c>
      <c r="B293" s="102">
        <v>2</v>
      </c>
      <c r="C293" s="102">
        <v>3</v>
      </c>
      <c r="D293" s="102">
        <v>4</v>
      </c>
      <c r="E293" s="102">
        <v>5</v>
      </c>
      <c r="F293" s="102">
        <v>6</v>
      </c>
      <c r="G293" s="102">
        <v>7</v>
      </c>
      <c r="H293" s="102">
        <v>8</v>
      </c>
      <c r="I293" s="102">
        <v>9</v>
      </c>
      <c r="J293" s="102">
        <v>10</v>
      </c>
      <c r="K293" s="104">
        <v>11</v>
      </c>
      <c r="L293" s="102">
        <v>12</v>
      </c>
      <c r="M293" s="102">
        <v>13</v>
      </c>
      <c r="N293" s="102">
        <v>14</v>
      </c>
      <c r="O293" s="102">
        <v>15</v>
      </c>
      <c r="P293" s="102">
        <v>16</v>
      </c>
      <c r="Q293" s="102">
        <v>17</v>
      </c>
      <c r="R293" s="102">
        <v>18</v>
      </c>
      <c r="S293" s="105">
        <v>19</v>
      </c>
    </row>
    <row r="294" spans="1:19" s="39" customFormat="1" ht="12.75" hidden="1">
      <c r="A294" s="69">
        <v>1</v>
      </c>
      <c r="B294" s="70" t="s">
        <v>118</v>
      </c>
      <c r="C294" s="71" t="s">
        <v>52</v>
      </c>
      <c r="D294" s="72" t="str">
        <f>B$290</f>
        <v>услуга 17</v>
      </c>
      <c r="E294" s="71"/>
      <c r="F294" s="71">
        <f aca="true" t="shared" si="160" ref="F294:F303">ROUND(O294/18/4,2)</f>
        <v>0</v>
      </c>
      <c r="G294" s="71">
        <v>7570</v>
      </c>
      <c r="H294" s="73">
        <v>0.15</v>
      </c>
      <c r="I294" s="73">
        <v>0</v>
      </c>
      <c r="J294" s="71"/>
      <c r="K294" s="74">
        <f>(G294+G294*(H294+I294))*J294</f>
        <v>0</v>
      </c>
      <c r="L294" s="71">
        <f aca="true" t="shared" si="161" ref="L294:L303">18*25*4</f>
        <v>1800</v>
      </c>
      <c r="M294" s="71">
        <f>N294*O294</f>
        <v>0</v>
      </c>
      <c r="N294" s="71"/>
      <c r="O294" s="71"/>
      <c r="P294" s="75">
        <f>ROUND(K294/L294,2)</f>
        <v>0</v>
      </c>
      <c r="Q294" s="74">
        <f>N294*O294*P294</f>
        <v>0</v>
      </c>
      <c r="R294" s="74">
        <f>Q294*0.15</f>
        <v>0</v>
      </c>
      <c r="S294" s="76">
        <f>Q294+R294</f>
        <v>0</v>
      </c>
    </row>
    <row r="295" spans="1:19" s="39" customFormat="1" ht="12.75" hidden="1">
      <c r="A295" s="69">
        <v>2</v>
      </c>
      <c r="B295" s="70"/>
      <c r="C295" s="71" t="s">
        <v>52</v>
      </c>
      <c r="D295" s="72" t="str">
        <f aca="true" t="shared" si="162" ref="D295:D303">B$290</f>
        <v>услуга 17</v>
      </c>
      <c r="E295" s="71"/>
      <c r="F295" s="71">
        <f t="shared" si="160"/>
        <v>0</v>
      </c>
      <c r="G295" s="71">
        <v>7570</v>
      </c>
      <c r="H295" s="73">
        <f>H$24</f>
        <v>0</v>
      </c>
      <c r="I295" s="73">
        <v>0</v>
      </c>
      <c r="J295" s="71"/>
      <c r="K295" s="74">
        <f aca="true" t="shared" si="163" ref="K295:K303">(G295+G295*(H295+I295))*J295</f>
        <v>0</v>
      </c>
      <c r="L295" s="71">
        <f t="shared" si="161"/>
        <v>1800</v>
      </c>
      <c r="M295" s="71">
        <f aca="true" t="shared" si="164" ref="M295:M303">N295*O295</f>
        <v>0</v>
      </c>
      <c r="N295" s="71"/>
      <c r="O295" s="71"/>
      <c r="P295" s="75">
        <f aca="true" t="shared" si="165" ref="P295:P303">ROUND(K295/L295,2)</f>
        <v>0</v>
      </c>
      <c r="Q295" s="74">
        <f aca="true" t="shared" si="166" ref="Q295:Q303">N295*O295*P295</f>
        <v>0</v>
      </c>
      <c r="R295" s="74">
        <f aca="true" t="shared" si="167" ref="R295:R303">Q295*0.15</f>
        <v>0</v>
      </c>
      <c r="S295" s="76">
        <f aca="true" t="shared" si="168" ref="S295:S303">Q295+R295</f>
        <v>0</v>
      </c>
    </row>
    <row r="296" spans="1:19" s="39" customFormat="1" ht="12.75" hidden="1">
      <c r="A296" s="69">
        <v>3</v>
      </c>
      <c r="B296" s="70"/>
      <c r="C296" s="71" t="s">
        <v>52</v>
      </c>
      <c r="D296" s="72" t="str">
        <f t="shared" si="162"/>
        <v>услуга 17</v>
      </c>
      <c r="E296" s="71"/>
      <c r="F296" s="71">
        <f t="shared" si="160"/>
        <v>0</v>
      </c>
      <c r="G296" s="71">
        <v>7570</v>
      </c>
      <c r="H296" s="73">
        <f aca="true" t="shared" si="169" ref="H296:H303">H$24</f>
        <v>0</v>
      </c>
      <c r="I296" s="73"/>
      <c r="J296" s="71"/>
      <c r="K296" s="74">
        <f t="shared" si="163"/>
        <v>0</v>
      </c>
      <c r="L296" s="71">
        <f t="shared" si="161"/>
        <v>1800</v>
      </c>
      <c r="M296" s="71">
        <f t="shared" si="164"/>
        <v>0</v>
      </c>
      <c r="N296" s="71"/>
      <c r="O296" s="71"/>
      <c r="P296" s="75">
        <f t="shared" si="165"/>
        <v>0</v>
      </c>
      <c r="Q296" s="74">
        <f t="shared" si="166"/>
        <v>0</v>
      </c>
      <c r="R296" s="74">
        <f t="shared" si="167"/>
        <v>0</v>
      </c>
      <c r="S296" s="76">
        <f t="shared" si="168"/>
        <v>0</v>
      </c>
    </row>
    <row r="297" spans="1:19" s="39" customFormat="1" ht="12.75" hidden="1">
      <c r="A297" s="69">
        <v>4</v>
      </c>
      <c r="B297" s="70"/>
      <c r="C297" s="71" t="s">
        <v>52</v>
      </c>
      <c r="D297" s="72" t="str">
        <f t="shared" si="162"/>
        <v>услуга 17</v>
      </c>
      <c r="E297" s="71"/>
      <c r="F297" s="71">
        <f t="shared" si="160"/>
        <v>0</v>
      </c>
      <c r="G297" s="71">
        <v>7570</v>
      </c>
      <c r="H297" s="73">
        <f t="shared" si="169"/>
        <v>0</v>
      </c>
      <c r="I297" s="73"/>
      <c r="J297" s="71"/>
      <c r="K297" s="74">
        <f t="shared" si="163"/>
        <v>0</v>
      </c>
      <c r="L297" s="71">
        <f t="shared" si="161"/>
        <v>1800</v>
      </c>
      <c r="M297" s="71">
        <f t="shared" si="164"/>
        <v>0</v>
      </c>
      <c r="N297" s="71"/>
      <c r="O297" s="71"/>
      <c r="P297" s="75">
        <f t="shared" si="165"/>
        <v>0</v>
      </c>
      <c r="Q297" s="74">
        <f t="shared" si="166"/>
        <v>0</v>
      </c>
      <c r="R297" s="74">
        <f t="shared" si="167"/>
        <v>0</v>
      </c>
      <c r="S297" s="76">
        <f t="shared" si="168"/>
        <v>0</v>
      </c>
    </row>
    <row r="298" spans="1:19" s="39" customFormat="1" ht="12.75" hidden="1">
      <c r="A298" s="69">
        <v>5</v>
      </c>
      <c r="B298" s="70"/>
      <c r="C298" s="71" t="s">
        <v>52</v>
      </c>
      <c r="D298" s="72" t="str">
        <f t="shared" si="162"/>
        <v>услуга 17</v>
      </c>
      <c r="E298" s="71"/>
      <c r="F298" s="71">
        <f t="shared" si="160"/>
        <v>0</v>
      </c>
      <c r="G298" s="71">
        <v>7570</v>
      </c>
      <c r="H298" s="73">
        <f t="shared" si="169"/>
        <v>0</v>
      </c>
      <c r="I298" s="73"/>
      <c r="J298" s="71"/>
      <c r="K298" s="74">
        <f t="shared" si="163"/>
        <v>0</v>
      </c>
      <c r="L298" s="71">
        <f t="shared" si="161"/>
        <v>1800</v>
      </c>
      <c r="M298" s="71">
        <f t="shared" si="164"/>
        <v>0</v>
      </c>
      <c r="N298" s="71"/>
      <c r="O298" s="71"/>
      <c r="P298" s="75">
        <f t="shared" si="165"/>
        <v>0</v>
      </c>
      <c r="Q298" s="74">
        <f t="shared" si="166"/>
        <v>0</v>
      </c>
      <c r="R298" s="74">
        <f t="shared" si="167"/>
        <v>0</v>
      </c>
      <c r="S298" s="76">
        <f t="shared" si="168"/>
        <v>0</v>
      </c>
    </row>
    <row r="299" spans="1:19" s="39" customFormat="1" ht="12.75" hidden="1">
      <c r="A299" s="69">
        <v>6</v>
      </c>
      <c r="B299" s="70"/>
      <c r="C299" s="71" t="s">
        <v>52</v>
      </c>
      <c r="D299" s="72" t="str">
        <f t="shared" si="162"/>
        <v>услуга 17</v>
      </c>
      <c r="E299" s="71"/>
      <c r="F299" s="71">
        <f t="shared" si="160"/>
        <v>0</v>
      </c>
      <c r="G299" s="71">
        <v>7570</v>
      </c>
      <c r="H299" s="73">
        <f t="shared" si="169"/>
        <v>0</v>
      </c>
      <c r="I299" s="73"/>
      <c r="J299" s="71"/>
      <c r="K299" s="74">
        <f t="shared" si="163"/>
        <v>0</v>
      </c>
      <c r="L299" s="71">
        <f t="shared" si="161"/>
        <v>1800</v>
      </c>
      <c r="M299" s="71">
        <f t="shared" si="164"/>
        <v>0</v>
      </c>
      <c r="N299" s="71"/>
      <c r="O299" s="71"/>
      <c r="P299" s="75">
        <f t="shared" si="165"/>
        <v>0</v>
      </c>
      <c r="Q299" s="74">
        <f t="shared" si="166"/>
        <v>0</v>
      </c>
      <c r="R299" s="74">
        <f t="shared" si="167"/>
        <v>0</v>
      </c>
      <c r="S299" s="76">
        <f t="shared" si="168"/>
        <v>0</v>
      </c>
    </row>
    <row r="300" spans="1:19" s="39" customFormat="1" ht="12.75" hidden="1">
      <c r="A300" s="69">
        <v>7</v>
      </c>
      <c r="B300" s="70"/>
      <c r="C300" s="71" t="s">
        <v>52</v>
      </c>
      <c r="D300" s="72" t="str">
        <f t="shared" si="162"/>
        <v>услуга 17</v>
      </c>
      <c r="E300" s="71"/>
      <c r="F300" s="71">
        <f t="shared" si="160"/>
        <v>0</v>
      </c>
      <c r="G300" s="71">
        <v>7570</v>
      </c>
      <c r="H300" s="73">
        <f t="shared" si="169"/>
        <v>0</v>
      </c>
      <c r="I300" s="73"/>
      <c r="J300" s="71"/>
      <c r="K300" s="74">
        <f t="shared" si="163"/>
        <v>0</v>
      </c>
      <c r="L300" s="71">
        <f t="shared" si="161"/>
        <v>1800</v>
      </c>
      <c r="M300" s="71">
        <f t="shared" si="164"/>
        <v>0</v>
      </c>
      <c r="N300" s="71"/>
      <c r="O300" s="71"/>
      <c r="P300" s="75">
        <f t="shared" si="165"/>
        <v>0</v>
      </c>
      <c r="Q300" s="74">
        <f t="shared" si="166"/>
        <v>0</v>
      </c>
      <c r="R300" s="74">
        <f t="shared" si="167"/>
        <v>0</v>
      </c>
      <c r="S300" s="76">
        <f t="shared" si="168"/>
        <v>0</v>
      </c>
    </row>
    <row r="301" spans="1:19" s="39" customFormat="1" ht="12.75" hidden="1">
      <c r="A301" s="69">
        <v>8</v>
      </c>
      <c r="B301" s="70"/>
      <c r="C301" s="71" t="s">
        <v>52</v>
      </c>
      <c r="D301" s="72" t="str">
        <f t="shared" si="162"/>
        <v>услуга 17</v>
      </c>
      <c r="E301" s="71"/>
      <c r="F301" s="71">
        <f t="shared" si="160"/>
        <v>0</v>
      </c>
      <c r="G301" s="71">
        <v>7570</v>
      </c>
      <c r="H301" s="73">
        <f t="shared" si="169"/>
        <v>0</v>
      </c>
      <c r="I301" s="73"/>
      <c r="J301" s="71"/>
      <c r="K301" s="74">
        <f t="shared" si="163"/>
        <v>0</v>
      </c>
      <c r="L301" s="71">
        <f t="shared" si="161"/>
        <v>1800</v>
      </c>
      <c r="M301" s="71">
        <f t="shared" si="164"/>
        <v>0</v>
      </c>
      <c r="N301" s="71"/>
      <c r="O301" s="71"/>
      <c r="P301" s="75">
        <f t="shared" si="165"/>
        <v>0</v>
      </c>
      <c r="Q301" s="74">
        <f t="shared" si="166"/>
        <v>0</v>
      </c>
      <c r="R301" s="74">
        <f t="shared" si="167"/>
        <v>0</v>
      </c>
      <c r="S301" s="76">
        <f t="shared" si="168"/>
        <v>0</v>
      </c>
    </row>
    <row r="302" spans="1:19" s="39" customFormat="1" ht="12.75" hidden="1">
      <c r="A302" s="69">
        <v>9</v>
      </c>
      <c r="B302" s="70"/>
      <c r="C302" s="71" t="s">
        <v>52</v>
      </c>
      <c r="D302" s="72" t="str">
        <f t="shared" si="162"/>
        <v>услуга 17</v>
      </c>
      <c r="E302" s="71"/>
      <c r="F302" s="71">
        <f t="shared" si="160"/>
        <v>0</v>
      </c>
      <c r="G302" s="71">
        <v>7570</v>
      </c>
      <c r="H302" s="73">
        <f t="shared" si="169"/>
        <v>0</v>
      </c>
      <c r="I302" s="73"/>
      <c r="J302" s="71"/>
      <c r="K302" s="74">
        <f t="shared" si="163"/>
        <v>0</v>
      </c>
      <c r="L302" s="71">
        <f t="shared" si="161"/>
        <v>1800</v>
      </c>
      <c r="M302" s="71">
        <f t="shared" si="164"/>
        <v>0</v>
      </c>
      <c r="N302" s="71"/>
      <c r="O302" s="71"/>
      <c r="P302" s="75">
        <f t="shared" si="165"/>
        <v>0</v>
      </c>
      <c r="Q302" s="74">
        <f t="shared" si="166"/>
        <v>0</v>
      </c>
      <c r="R302" s="74">
        <f t="shared" si="167"/>
        <v>0</v>
      </c>
      <c r="S302" s="76">
        <f t="shared" si="168"/>
        <v>0</v>
      </c>
    </row>
    <row r="303" spans="1:19" s="39" customFormat="1" ht="12.75" hidden="1">
      <c r="A303" s="69">
        <v>10</v>
      </c>
      <c r="B303" s="70"/>
      <c r="C303" s="71" t="s">
        <v>52</v>
      </c>
      <c r="D303" s="72" t="str">
        <f t="shared" si="162"/>
        <v>услуга 17</v>
      </c>
      <c r="E303" s="71"/>
      <c r="F303" s="71">
        <f t="shared" si="160"/>
        <v>0</v>
      </c>
      <c r="G303" s="71">
        <v>7570</v>
      </c>
      <c r="H303" s="73">
        <f t="shared" si="169"/>
        <v>0</v>
      </c>
      <c r="I303" s="73"/>
      <c r="J303" s="71"/>
      <c r="K303" s="74">
        <f t="shared" si="163"/>
        <v>0</v>
      </c>
      <c r="L303" s="71">
        <f t="shared" si="161"/>
        <v>1800</v>
      </c>
      <c r="M303" s="71">
        <f t="shared" si="164"/>
        <v>0</v>
      </c>
      <c r="N303" s="71"/>
      <c r="O303" s="71"/>
      <c r="P303" s="75">
        <f t="shared" si="165"/>
        <v>0</v>
      </c>
      <c r="Q303" s="74">
        <f t="shared" si="166"/>
        <v>0</v>
      </c>
      <c r="R303" s="74">
        <f t="shared" si="167"/>
        <v>0</v>
      </c>
      <c r="S303" s="76">
        <f t="shared" si="168"/>
        <v>0</v>
      </c>
    </row>
    <row r="304" spans="1:19" s="39" customFormat="1" ht="13.5" hidden="1" thickBot="1">
      <c r="A304" s="113"/>
      <c r="B304" s="114"/>
      <c r="C304" s="114"/>
      <c r="D304" s="114" t="s">
        <v>53</v>
      </c>
      <c r="E304" s="114"/>
      <c r="F304" s="115">
        <f>SUM(F294:F303)</f>
        <v>0</v>
      </c>
      <c r="G304" s="114"/>
      <c r="H304" s="114"/>
      <c r="I304" s="114"/>
      <c r="J304" s="114"/>
      <c r="K304" s="116"/>
      <c r="L304" s="114"/>
      <c r="M304" s="117">
        <f>SUM(M294:M303)</f>
        <v>0</v>
      </c>
      <c r="N304" s="117">
        <f>SUM(N294:N303)</f>
        <v>0</v>
      </c>
      <c r="O304" s="117">
        <f>SUM(O294:O303)</f>
        <v>0</v>
      </c>
      <c r="P304" s="114"/>
      <c r="Q304" s="115">
        <f>SUM(Q294:Q303)</f>
        <v>0</v>
      </c>
      <c r="R304" s="115">
        <f>SUM(R294:R303)</f>
        <v>0</v>
      </c>
      <c r="S304" s="143">
        <f>SUM(S294:S303)</f>
        <v>0</v>
      </c>
    </row>
    <row r="305" spans="1:19" s="39" customFormat="1" ht="12.75" hidden="1">
      <c r="A305" s="118"/>
      <c r="B305" s="92"/>
      <c r="C305" s="92"/>
      <c r="D305" s="92"/>
      <c r="E305" s="92"/>
      <c r="F305" s="93"/>
      <c r="G305" s="92"/>
      <c r="H305" s="92"/>
      <c r="I305" s="92"/>
      <c r="J305" s="92"/>
      <c r="K305" s="94"/>
      <c r="L305" s="92"/>
      <c r="M305" s="95"/>
      <c r="N305" s="95">
        <f>доходы!C28</f>
        <v>0</v>
      </c>
      <c r="O305" s="96" t="s">
        <v>116</v>
      </c>
      <c r="P305" s="119"/>
      <c r="Q305" s="120"/>
      <c r="R305" s="121"/>
      <c r="S305" s="136"/>
    </row>
    <row r="306" spans="1:19" s="39" customFormat="1" ht="12.75" hidden="1">
      <c r="A306" s="137" t="s">
        <v>132</v>
      </c>
      <c r="B306" s="138" t="str">
        <f>доходы!B29</f>
        <v>услуга 18</v>
      </c>
      <c r="C306" s="92"/>
      <c r="D306" s="92"/>
      <c r="E306" s="92"/>
      <c r="F306" s="139"/>
      <c r="G306" s="139"/>
      <c r="H306" s="139"/>
      <c r="I306" s="139"/>
      <c r="J306" s="139"/>
      <c r="K306" s="140"/>
      <c r="L306" s="139"/>
      <c r="M306" s="139"/>
      <c r="N306" s="139"/>
      <c r="O306" s="139"/>
      <c r="P306" s="139"/>
      <c r="Q306" s="139"/>
      <c r="R306" s="139"/>
      <c r="S306" s="141"/>
    </row>
    <row r="307" spans="1:19" s="39" customFormat="1" ht="13.5" hidden="1" thickBot="1">
      <c r="A307" s="142"/>
      <c r="B307" s="139"/>
      <c r="C307" s="139"/>
      <c r="D307" s="139"/>
      <c r="E307" s="139"/>
      <c r="F307" s="139"/>
      <c r="G307" s="139"/>
      <c r="H307" s="139"/>
      <c r="I307" s="139"/>
      <c r="J307" s="139"/>
      <c r="K307" s="140"/>
      <c r="L307" s="139"/>
      <c r="M307" s="139"/>
      <c r="N307" s="139"/>
      <c r="O307" s="139"/>
      <c r="P307" s="139"/>
      <c r="Q307" s="139"/>
      <c r="R307" s="139"/>
      <c r="S307" s="141"/>
    </row>
    <row r="308" spans="1:19" s="39" customFormat="1" ht="51.75" hidden="1" thickBot="1">
      <c r="A308" s="99" t="s">
        <v>1</v>
      </c>
      <c r="B308" s="99" t="s">
        <v>2</v>
      </c>
      <c r="C308" s="99" t="s">
        <v>8</v>
      </c>
      <c r="D308" s="99" t="s">
        <v>3</v>
      </c>
      <c r="E308" s="99" t="s">
        <v>4</v>
      </c>
      <c r="F308" s="99" t="s">
        <v>5</v>
      </c>
      <c r="G308" s="99" t="s">
        <v>64</v>
      </c>
      <c r="H308" s="99" t="s">
        <v>117</v>
      </c>
      <c r="I308" s="99" t="s">
        <v>99</v>
      </c>
      <c r="J308" s="99" t="s">
        <v>65</v>
      </c>
      <c r="K308" s="100" t="s">
        <v>66</v>
      </c>
      <c r="L308" s="99" t="s">
        <v>67</v>
      </c>
      <c r="M308" s="99" t="s">
        <v>6</v>
      </c>
      <c r="N308" s="99" t="s">
        <v>54</v>
      </c>
      <c r="O308" s="99" t="s">
        <v>7</v>
      </c>
      <c r="P308" s="99" t="s">
        <v>48</v>
      </c>
      <c r="Q308" s="99" t="s">
        <v>49</v>
      </c>
      <c r="R308" s="99" t="s">
        <v>50</v>
      </c>
      <c r="S308" s="99" t="s">
        <v>51</v>
      </c>
    </row>
    <row r="309" spans="1:19" s="39" customFormat="1" ht="12.75" hidden="1">
      <c r="A309" s="101">
        <v>1</v>
      </c>
      <c r="B309" s="102">
        <v>2</v>
      </c>
      <c r="C309" s="102">
        <v>3</v>
      </c>
      <c r="D309" s="102">
        <v>4</v>
      </c>
      <c r="E309" s="102">
        <v>5</v>
      </c>
      <c r="F309" s="102">
        <v>6</v>
      </c>
      <c r="G309" s="102">
        <v>7</v>
      </c>
      <c r="H309" s="102">
        <v>8</v>
      </c>
      <c r="I309" s="102">
        <v>9</v>
      </c>
      <c r="J309" s="102">
        <v>10</v>
      </c>
      <c r="K309" s="104">
        <v>11</v>
      </c>
      <c r="L309" s="102">
        <v>12</v>
      </c>
      <c r="M309" s="102">
        <v>13</v>
      </c>
      <c r="N309" s="102">
        <v>14</v>
      </c>
      <c r="O309" s="102">
        <v>15</v>
      </c>
      <c r="P309" s="102">
        <v>16</v>
      </c>
      <c r="Q309" s="102">
        <v>17</v>
      </c>
      <c r="R309" s="102">
        <v>18</v>
      </c>
      <c r="S309" s="105">
        <v>19</v>
      </c>
    </row>
    <row r="310" spans="1:19" s="39" customFormat="1" ht="12.75" hidden="1">
      <c r="A310" s="69">
        <v>1</v>
      </c>
      <c r="B310" s="70" t="s">
        <v>118</v>
      </c>
      <c r="C310" s="71" t="s">
        <v>52</v>
      </c>
      <c r="D310" s="72" t="str">
        <f>B$306</f>
        <v>услуга 18</v>
      </c>
      <c r="E310" s="71"/>
      <c r="F310" s="71">
        <f aca="true" t="shared" si="170" ref="F310:F319">ROUND(O310/18/4,2)</f>
        <v>0</v>
      </c>
      <c r="G310" s="71">
        <v>7570</v>
      </c>
      <c r="H310" s="73">
        <v>0.15</v>
      </c>
      <c r="I310" s="73">
        <v>0</v>
      </c>
      <c r="J310" s="71"/>
      <c r="K310" s="74">
        <f>(G310+G310*(H310+I310))*J310</f>
        <v>0</v>
      </c>
      <c r="L310" s="71">
        <f aca="true" t="shared" si="171" ref="L310:L319">18*25*4</f>
        <v>1800</v>
      </c>
      <c r="M310" s="71">
        <f>N310*O310</f>
        <v>0</v>
      </c>
      <c r="N310" s="71"/>
      <c r="O310" s="71"/>
      <c r="P310" s="75">
        <f>ROUND(K310/L310,2)</f>
        <v>0</v>
      </c>
      <c r="Q310" s="74">
        <f>N310*O310*P310</f>
        <v>0</v>
      </c>
      <c r="R310" s="74">
        <f>Q310*0.15</f>
        <v>0</v>
      </c>
      <c r="S310" s="76">
        <f>Q310+R310</f>
        <v>0</v>
      </c>
    </row>
    <row r="311" spans="1:19" s="39" customFormat="1" ht="12.75" hidden="1">
      <c r="A311" s="69">
        <v>2</v>
      </c>
      <c r="B311" s="70"/>
      <c r="C311" s="71" t="s">
        <v>52</v>
      </c>
      <c r="D311" s="72" t="str">
        <f aca="true" t="shared" si="172" ref="D311:D319">B$306</f>
        <v>услуга 18</v>
      </c>
      <c r="E311" s="71"/>
      <c r="F311" s="71">
        <f t="shared" si="170"/>
        <v>0</v>
      </c>
      <c r="G311" s="71">
        <v>7570</v>
      </c>
      <c r="H311" s="73">
        <f>H$24</f>
        <v>0</v>
      </c>
      <c r="I311" s="73">
        <v>0</v>
      </c>
      <c r="J311" s="71"/>
      <c r="K311" s="74">
        <f aca="true" t="shared" si="173" ref="K311:K319">(G311+G311*(H311+I311))*J311</f>
        <v>0</v>
      </c>
      <c r="L311" s="71">
        <f t="shared" si="171"/>
        <v>1800</v>
      </c>
      <c r="M311" s="71">
        <f aca="true" t="shared" si="174" ref="M311:M319">N311*O311</f>
        <v>0</v>
      </c>
      <c r="N311" s="71"/>
      <c r="O311" s="71"/>
      <c r="P311" s="75">
        <f aca="true" t="shared" si="175" ref="P311:P319">ROUND(K311/L311,2)</f>
        <v>0</v>
      </c>
      <c r="Q311" s="74">
        <f aca="true" t="shared" si="176" ref="Q311:Q319">N311*O311*P311</f>
        <v>0</v>
      </c>
      <c r="R311" s="74">
        <f aca="true" t="shared" si="177" ref="R311:R319">Q311*0.15</f>
        <v>0</v>
      </c>
      <c r="S311" s="76">
        <f aca="true" t="shared" si="178" ref="S311:S319">Q311+R311</f>
        <v>0</v>
      </c>
    </row>
    <row r="312" spans="1:19" s="39" customFormat="1" ht="12.75" hidden="1">
      <c r="A312" s="69">
        <v>3</v>
      </c>
      <c r="B312" s="70"/>
      <c r="C312" s="71" t="s">
        <v>52</v>
      </c>
      <c r="D312" s="72" t="str">
        <f t="shared" si="172"/>
        <v>услуга 18</v>
      </c>
      <c r="E312" s="71"/>
      <c r="F312" s="71">
        <f t="shared" si="170"/>
        <v>0</v>
      </c>
      <c r="G312" s="71">
        <v>7570</v>
      </c>
      <c r="H312" s="73">
        <f aca="true" t="shared" si="179" ref="H312:H319">H$24</f>
        <v>0</v>
      </c>
      <c r="I312" s="73"/>
      <c r="J312" s="71"/>
      <c r="K312" s="74">
        <f t="shared" si="173"/>
        <v>0</v>
      </c>
      <c r="L312" s="71">
        <f t="shared" si="171"/>
        <v>1800</v>
      </c>
      <c r="M312" s="71">
        <f t="shared" si="174"/>
        <v>0</v>
      </c>
      <c r="N312" s="71"/>
      <c r="O312" s="71"/>
      <c r="P312" s="75">
        <f t="shared" si="175"/>
        <v>0</v>
      </c>
      <c r="Q312" s="74">
        <f t="shared" si="176"/>
        <v>0</v>
      </c>
      <c r="R312" s="74">
        <f t="shared" si="177"/>
        <v>0</v>
      </c>
      <c r="S312" s="76">
        <f t="shared" si="178"/>
        <v>0</v>
      </c>
    </row>
    <row r="313" spans="1:19" s="39" customFormat="1" ht="12.75" hidden="1">
      <c r="A313" s="69">
        <v>4</v>
      </c>
      <c r="B313" s="70"/>
      <c r="C313" s="71" t="s">
        <v>52</v>
      </c>
      <c r="D313" s="72" t="str">
        <f t="shared" si="172"/>
        <v>услуга 18</v>
      </c>
      <c r="E313" s="71"/>
      <c r="F313" s="71">
        <f t="shared" si="170"/>
        <v>0</v>
      </c>
      <c r="G313" s="71">
        <v>7570</v>
      </c>
      <c r="H313" s="73">
        <f t="shared" si="179"/>
        <v>0</v>
      </c>
      <c r="I313" s="73"/>
      <c r="J313" s="71"/>
      <c r="K313" s="74">
        <f t="shared" si="173"/>
        <v>0</v>
      </c>
      <c r="L313" s="71">
        <f t="shared" si="171"/>
        <v>1800</v>
      </c>
      <c r="M313" s="71">
        <f t="shared" si="174"/>
        <v>0</v>
      </c>
      <c r="N313" s="71"/>
      <c r="O313" s="71"/>
      <c r="P313" s="75">
        <f t="shared" si="175"/>
        <v>0</v>
      </c>
      <c r="Q313" s="74">
        <f t="shared" si="176"/>
        <v>0</v>
      </c>
      <c r="R313" s="74">
        <f t="shared" si="177"/>
        <v>0</v>
      </c>
      <c r="S313" s="76">
        <f t="shared" si="178"/>
        <v>0</v>
      </c>
    </row>
    <row r="314" spans="1:19" s="39" customFormat="1" ht="12.75" hidden="1">
      <c r="A314" s="69">
        <v>5</v>
      </c>
      <c r="B314" s="70"/>
      <c r="C314" s="71" t="s">
        <v>52</v>
      </c>
      <c r="D314" s="72" t="str">
        <f t="shared" si="172"/>
        <v>услуга 18</v>
      </c>
      <c r="E314" s="71"/>
      <c r="F314" s="71">
        <f t="shared" si="170"/>
        <v>0</v>
      </c>
      <c r="G314" s="71">
        <v>7570</v>
      </c>
      <c r="H314" s="73">
        <f t="shared" si="179"/>
        <v>0</v>
      </c>
      <c r="I314" s="73"/>
      <c r="J314" s="71"/>
      <c r="K314" s="74">
        <f t="shared" si="173"/>
        <v>0</v>
      </c>
      <c r="L314" s="71">
        <f t="shared" si="171"/>
        <v>1800</v>
      </c>
      <c r="M314" s="71">
        <f t="shared" si="174"/>
        <v>0</v>
      </c>
      <c r="N314" s="71"/>
      <c r="O314" s="71"/>
      <c r="P314" s="75">
        <f t="shared" si="175"/>
        <v>0</v>
      </c>
      <c r="Q314" s="74">
        <f t="shared" si="176"/>
        <v>0</v>
      </c>
      <c r="R314" s="74">
        <f t="shared" si="177"/>
        <v>0</v>
      </c>
      <c r="S314" s="76">
        <f t="shared" si="178"/>
        <v>0</v>
      </c>
    </row>
    <row r="315" spans="1:19" s="39" customFormat="1" ht="12.75" hidden="1">
      <c r="A315" s="69">
        <v>6</v>
      </c>
      <c r="B315" s="70"/>
      <c r="C315" s="71" t="s">
        <v>52</v>
      </c>
      <c r="D315" s="72" t="str">
        <f t="shared" si="172"/>
        <v>услуга 18</v>
      </c>
      <c r="E315" s="71"/>
      <c r="F315" s="71">
        <f t="shared" si="170"/>
        <v>0</v>
      </c>
      <c r="G315" s="71">
        <v>7570</v>
      </c>
      <c r="H315" s="73">
        <f t="shared" si="179"/>
        <v>0</v>
      </c>
      <c r="I315" s="73"/>
      <c r="J315" s="71"/>
      <c r="K315" s="74">
        <f t="shared" si="173"/>
        <v>0</v>
      </c>
      <c r="L315" s="71">
        <f t="shared" si="171"/>
        <v>1800</v>
      </c>
      <c r="M315" s="71">
        <f t="shared" si="174"/>
        <v>0</v>
      </c>
      <c r="N315" s="71"/>
      <c r="O315" s="71"/>
      <c r="P315" s="75">
        <f t="shared" si="175"/>
        <v>0</v>
      </c>
      <c r="Q315" s="74">
        <f t="shared" si="176"/>
        <v>0</v>
      </c>
      <c r="R315" s="74">
        <f t="shared" si="177"/>
        <v>0</v>
      </c>
      <c r="S315" s="76">
        <f t="shared" si="178"/>
        <v>0</v>
      </c>
    </row>
    <row r="316" spans="1:19" s="39" customFormat="1" ht="12.75" hidden="1">
      <c r="A316" s="69">
        <v>7</v>
      </c>
      <c r="B316" s="70"/>
      <c r="C316" s="71" t="s">
        <v>52</v>
      </c>
      <c r="D316" s="72" t="str">
        <f t="shared" si="172"/>
        <v>услуга 18</v>
      </c>
      <c r="E316" s="71"/>
      <c r="F316" s="71">
        <f t="shared" si="170"/>
        <v>0</v>
      </c>
      <c r="G316" s="71">
        <v>7570</v>
      </c>
      <c r="H316" s="73">
        <f t="shared" si="179"/>
        <v>0</v>
      </c>
      <c r="I316" s="73"/>
      <c r="J316" s="71"/>
      <c r="K316" s="74">
        <f t="shared" si="173"/>
        <v>0</v>
      </c>
      <c r="L316" s="71">
        <f t="shared" si="171"/>
        <v>1800</v>
      </c>
      <c r="M316" s="71">
        <f t="shared" si="174"/>
        <v>0</v>
      </c>
      <c r="N316" s="71"/>
      <c r="O316" s="71"/>
      <c r="P316" s="75">
        <f t="shared" si="175"/>
        <v>0</v>
      </c>
      <c r="Q316" s="74">
        <f t="shared" si="176"/>
        <v>0</v>
      </c>
      <c r="R316" s="74">
        <f t="shared" si="177"/>
        <v>0</v>
      </c>
      <c r="S316" s="76">
        <f t="shared" si="178"/>
        <v>0</v>
      </c>
    </row>
    <row r="317" spans="1:19" s="39" customFormat="1" ht="12.75" hidden="1">
      <c r="A317" s="69">
        <v>8</v>
      </c>
      <c r="B317" s="70"/>
      <c r="C317" s="71" t="s">
        <v>52</v>
      </c>
      <c r="D317" s="72" t="str">
        <f t="shared" si="172"/>
        <v>услуга 18</v>
      </c>
      <c r="E317" s="71"/>
      <c r="F317" s="71">
        <f t="shared" si="170"/>
        <v>0</v>
      </c>
      <c r="G317" s="71">
        <v>7570</v>
      </c>
      <c r="H317" s="73">
        <f t="shared" si="179"/>
        <v>0</v>
      </c>
      <c r="I317" s="73"/>
      <c r="J317" s="71"/>
      <c r="K317" s="74">
        <f t="shared" si="173"/>
        <v>0</v>
      </c>
      <c r="L317" s="71">
        <f t="shared" si="171"/>
        <v>1800</v>
      </c>
      <c r="M317" s="71">
        <f t="shared" si="174"/>
        <v>0</v>
      </c>
      <c r="N317" s="71"/>
      <c r="O317" s="71"/>
      <c r="P317" s="75">
        <f t="shared" si="175"/>
        <v>0</v>
      </c>
      <c r="Q317" s="74">
        <f t="shared" si="176"/>
        <v>0</v>
      </c>
      <c r="R317" s="74">
        <f t="shared" si="177"/>
        <v>0</v>
      </c>
      <c r="S317" s="76">
        <f t="shared" si="178"/>
        <v>0</v>
      </c>
    </row>
    <row r="318" spans="1:19" s="39" customFormat="1" ht="12.75" hidden="1">
      <c r="A318" s="69">
        <v>9</v>
      </c>
      <c r="B318" s="70"/>
      <c r="C318" s="71" t="s">
        <v>52</v>
      </c>
      <c r="D318" s="72" t="str">
        <f t="shared" si="172"/>
        <v>услуга 18</v>
      </c>
      <c r="E318" s="71"/>
      <c r="F318" s="71">
        <f t="shared" si="170"/>
        <v>0</v>
      </c>
      <c r="G318" s="71">
        <v>7570</v>
      </c>
      <c r="H318" s="73">
        <f t="shared" si="179"/>
        <v>0</v>
      </c>
      <c r="I318" s="73"/>
      <c r="J318" s="71"/>
      <c r="K318" s="74">
        <f t="shared" si="173"/>
        <v>0</v>
      </c>
      <c r="L318" s="71">
        <f t="shared" si="171"/>
        <v>1800</v>
      </c>
      <c r="M318" s="71">
        <f t="shared" si="174"/>
        <v>0</v>
      </c>
      <c r="N318" s="71"/>
      <c r="O318" s="71"/>
      <c r="P318" s="75">
        <f t="shared" si="175"/>
        <v>0</v>
      </c>
      <c r="Q318" s="74">
        <f t="shared" si="176"/>
        <v>0</v>
      </c>
      <c r="R318" s="74">
        <f t="shared" si="177"/>
        <v>0</v>
      </c>
      <c r="S318" s="76">
        <f t="shared" si="178"/>
        <v>0</v>
      </c>
    </row>
    <row r="319" spans="1:19" s="39" customFormat="1" ht="12.75" hidden="1">
      <c r="A319" s="69">
        <v>10</v>
      </c>
      <c r="B319" s="70"/>
      <c r="C319" s="71" t="s">
        <v>52</v>
      </c>
      <c r="D319" s="72" t="str">
        <f t="shared" si="172"/>
        <v>услуга 18</v>
      </c>
      <c r="E319" s="71"/>
      <c r="F319" s="71">
        <f t="shared" si="170"/>
        <v>0</v>
      </c>
      <c r="G319" s="71">
        <v>7570</v>
      </c>
      <c r="H319" s="73">
        <f t="shared" si="179"/>
        <v>0</v>
      </c>
      <c r="I319" s="73"/>
      <c r="J319" s="71"/>
      <c r="K319" s="74">
        <f t="shared" si="173"/>
        <v>0</v>
      </c>
      <c r="L319" s="71">
        <f t="shared" si="171"/>
        <v>1800</v>
      </c>
      <c r="M319" s="71">
        <f t="shared" si="174"/>
        <v>0</v>
      </c>
      <c r="N319" s="71"/>
      <c r="O319" s="71"/>
      <c r="P319" s="75">
        <f t="shared" si="175"/>
        <v>0</v>
      </c>
      <c r="Q319" s="74">
        <f t="shared" si="176"/>
        <v>0</v>
      </c>
      <c r="R319" s="74">
        <f t="shared" si="177"/>
        <v>0</v>
      </c>
      <c r="S319" s="76">
        <f t="shared" si="178"/>
        <v>0</v>
      </c>
    </row>
    <row r="320" spans="1:19" s="39" customFormat="1" ht="13.5" hidden="1" thickBot="1">
      <c r="A320" s="113"/>
      <c r="B320" s="114"/>
      <c r="C320" s="114"/>
      <c r="D320" s="114" t="s">
        <v>53</v>
      </c>
      <c r="E320" s="114"/>
      <c r="F320" s="115">
        <f>SUM(F310:F319)</f>
        <v>0</v>
      </c>
      <c r="G320" s="114"/>
      <c r="H320" s="114"/>
      <c r="I320" s="114"/>
      <c r="J320" s="114"/>
      <c r="K320" s="116"/>
      <c r="L320" s="114"/>
      <c r="M320" s="117">
        <f>SUM(M310:M319)</f>
        <v>0</v>
      </c>
      <c r="N320" s="117">
        <f>SUM(N310:N319)</f>
        <v>0</v>
      </c>
      <c r="O320" s="117">
        <f>SUM(O310:O319)</f>
        <v>0</v>
      </c>
      <c r="P320" s="114"/>
      <c r="Q320" s="115">
        <f>SUM(Q310:Q319)</f>
        <v>0</v>
      </c>
      <c r="R320" s="115">
        <f>SUM(R310:R319)</f>
        <v>0</v>
      </c>
      <c r="S320" s="143">
        <f>SUM(S310:S319)</f>
        <v>0</v>
      </c>
    </row>
    <row r="321" spans="1:19" s="39" customFormat="1" ht="12.75" hidden="1">
      <c r="A321" s="118"/>
      <c r="B321" s="92"/>
      <c r="C321" s="92"/>
      <c r="D321" s="92"/>
      <c r="E321" s="92"/>
      <c r="F321" s="93"/>
      <c r="G321" s="92"/>
      <c r="H321" s="92"/>
      <c r="I321" s="92"/>
      <c r="J321" s="92"/>
      <c r="K321" s="94"/>
      <c r="L321" s="92"/>
      <c r="M321" s="95"/>
      <c r="N321" s="95">
        <f>доходы!C29</f>
        <v>0</v>
      </c>
      <c r="O321" s="96" t="s">
        <v>116</v>
      </c>
      <c r="P321" s="119"/>
      <c r="Q321" s="120"/>
      <c r="R321" s="121"/>
      <c r="S321" s="136"/>
    </row>
    <row r="322" spans="1:19" s="39" customFormat="1" ht="12.75" hidden="1">
      <c r="A322" s="137" t="s">
        <v>133</v>
      </c>
      <c r="B322" s="138" t="str">
        <f>доходы!B30</f>
        <v>услуга 19</v>
      </c>
      <c r="C322" s="92"/>
      <c r="D322" s="92"/>
      <c r="E322" s="92"/>
      <c r="F322" s="139"/>
      <c r="G322" s="139"/>
      <c r="H322" s="139"/>
      <c r="I322" s="139"/>
      <c r="J322" s="139"/>
      <c r="K322" s="140"/>
      <c r="L322" s="139"/>
      <c r="M322" s="139"/>
      <c r="N322" s="139"/>
      <c r="O322" s="139"/>
      <c r="P322" s="139"/>
      <c r="Q322" s="139"/>
      <c r="R322" s="139"/>
      <c r="S322" s="141"/>
    </row>
    <row r="323" spans="1:19" s="39" customFormat="1" ht="13.5" hidden="1" thickBot="1">
      <c r="A323" s="142"/>
      <c r="B323" s="139"/>
      <c r="C323" s="139"/>
      <c r="D323" s="139"/>
      <c r="E323" s="139"/>
      <c r="F323" s="139"/>
      <c r="G323" s="139"/>
      <c r="H323" s="139"/>
      <c r="I323" s="139"/>
      <c r="J323" s="139"/>
      <c r="K323" s="140"/>
      <c r="L323" s="139"/>
      <c r="M323" s="139"/>
      <c r="N323" s="139"/>
      <c r="O323" s="139"/>
      <c r="P323" s="139"/>
      <c r="Q323" s="139"/>
      <c r="R323" s="139"/>
      <c r="S323" s="141"/>
    </row>
    <row r="324" spans="1:19" s="39" customFormat="1" ht="51.75" hidden="1" thickBot="1">
      <c r="A324" s="99" t="s">
        <v>1</v>
      </c>
      <c r="B324" s="99" t="s">
        <v>2</v>
      </c>
      <c r="C324" s="99" t="s">
        <v>8</v>
      </c>
      <c r="D324" s="99" t="s">
        <v>3</v>
      </c>
      <c r="E324" s="99" t="s">
        <v>4</v>
      </c>
      <c r="F324" s="99" t="s">
        <v>5</v>
      </c>
      <c r="G324" s="99" t="s">
        <v>64</v>
      </c>
      <c r="H324" s="99" t="s">
        <v>117</v>
      </c>
      <c r="I324" s="99" t="s">
        <v>99</v>
      </c>
      <c r="J324" s="99" t="s">
        <v>65</v>
      </c>
      <c r="K324" s="100" t="s">
        <v>66</v>
      </c>
      <c r="L324" s="99" t="s">
        <v>67</v>
      </c>
      <c r="M324" s="99" t="s">
        <v>6</v>
      </c>
      <c r="N324" s="99" t="s">
        <v>54</v>
      </c>
      <c r="O324" s="99" t="s">
        <v>7</v>
      </c>
      <c r="P324" s="99" t="s">
        <v>48</v>
      </c>
      <c r="Q324" s="99" t="s">
        <v>49</v>
      </c>
      <c r="R324" s="99" t="s">
        <v>50</v>
      </c>
      <c r="S324" s="99" t="s">
        <v>51</v>
      </c>
    </row>
    <row r="325" spans="1:19" s="39" customFormat="1" ht="12.75" hidden="1">
      <c r="A325" s="101">
        <v>1</v>
      </c>
      <c r="B325" s="102">
        <v>2</v>
      </c>
      <c r="C325" s="102">
        <v>3</v>
      </c>
      <c r="D325" s="102">
        <v>4</v>
      </c>
      <c r="E325" s="102">
        <v>5</v>
      </c>
      <c r="F325" s="102">
        <v>6</v>
      </c>
      <c r="G325" s="102">
        <v>7</v>
      </c>
      <c r="H325" s="102">
        <v>8</v>
      </c>
      <c r="I325" s="102">
        <v>9</v>
      </c>
      <c r="J325" s="102">
        <v>10</v>
      </c>
      <c r="K325" s="104">
        <v>11</v>
      </c>
      <c r="L325" s="102">
        <v>12</v>
      </c>
      <c r="M325" s="102">
        <v>13</v>
      </c>
      <c r="N325" s="102">
        <v>14</v>
      </c>
      <c r="O325" s="102">
        <v>15</v>
      </c>
      <c r="P325" s="102">
        <v>16</v>
      </c>
      <c r="Q325" s="102">
        <v>17</v>
      </c>
      <c r="R325" s="102">
        <v>18</v>
      </c>
      <c r="S325" s="105">
        <v>19</v>
      </c>
    </row>
    <row r="326" spans="1:19" s="39" customFormat="1" ht="12.75" hidden="1">
      <c r="A326" s="69">
        <v>1</v>
      </c>
      <c r="B326" s="70" t="s">
        <v>118</v>
      </c>
      <c r="C326" s="71" t="s">
        <v>52</v>
      </c>
      <c r="D326" s="72" t="str">
        <f>B$322</f>
        <v>услуга 19</v>
      </c>
      <c r="E326" s="71"/>
      <c r="F326" s="71">
        <f aca="true" t="shared" si="180" ref="F326:F335">ROUND(O326/18/4,2)</f>
        <v>0</v>
      </c>
      <c r="G326" s="71">
        <v>7570</v>
      </c>
      <c r="H326" s="73">
        <v>0.15</v>
      </c>
      <c r="I326" s="73">
        <v>0</v>
      </c>
      <c r="J326" s="71"/>
      <c r="K326" s="74">
        <f>(G326+G326*(H326+I326))*J326</f>
        <v>0</v>
      </c>
      <c r="L326" s="71">
        <f aca="true" t="shared" si="181" ref="L326:L335">18*25*4</f>
        <v>1800</v>
      </c>
      <c r="M326" s="71">
        <f>N326*O326</f>
        <v>0</v>
      </c>
      <c r="N326" s="71"/>
      <c r="O326" s="71"/>
      <c r="P326" s="75">
        <f>ROUND(K326/L326,2)</f>
        <v>0</v>
      </c>
      <c r="Q326" s="74">
        <f>N326*O326*P326</f>
        <v>0</v>
      </c>
      <c r="R326" s="74">
        <f>Q326*0.15</f>
        <v>0</v>
      </c>
      <c r="S326" s="76">
        <f>Q326+R326</f>
        <v>0</v>
      </c>
    </row>
    <row r="327" spans="1:19" s="39" customFormat="1" ht="12.75" hidden="1">
      <c r="A327" s="69">
        <v>2</v>
      </c>
      <c r="B327" s="70"/>
      <c r="C327" s="71" t="s">
        <v>52</v>
      </c>
      <c r="D327" s="72" t="str">
        <f aca="true" t="shared" si="182" ref="D327:D335">B$322</f>
        <v>услуга 19</v>
      </c>
      <c r="E327" s="71"/>
      <c r="F327" s="71">
        <f t="shared" si="180"/>
        <v>0</v>
      </c>
      <c r="G327" s="71">
        <v>7570</v>
      </c>
      <c r="H327" s="73">
        <f>H$24</f>
        <v>0</v>
      </c>
      <c r="I327" s="73">
        <v>0</v>
      </c>
      <c r="J327" s="71"/>
      <c r="K327" s="74">
        <f aca="true" t="shared" si="183" ref="K327:K335">(G327+G327*(H327+I327))*J327</f>
        <v>0</v>
      </c>
      <c r="L327" s="71">
        <f t="shared" si="181"/>
        <v>1800</v>
      </c>
      <c r="M327" s="71">
        <f aca="true" t="shared" si="184" ref="M327:M335">N327*O327</f>
        <v>0</v>
      </c>
      <c r="N327" s="71"/>
      <c r="O327" s="71"/>
      <c r="P327" s="75">
        <f aca="true" t="shared" si="185" ref="P327:P335">ROUND(K327/L327,2)</f>
        <v>0</v>
      </c>
      <c r="Q327" s="74">
        <f aca="true" t="shared" si="186" ref="Q327:Q335">N327*O327*P327</f>
        <v>0</v>
      </c>
      <c r="R327" s="74">
        <f aca="true" t="shared" si="187" ref="R327:R335">Q327*0.15</f>
        <v>0</v>
      </c>
      <c r="S327" s="76">
        <f aca="true" t="shared" si="188" ref="S327:S335">Q327+R327</f>
        <v>0</v>
      </c>
    </row>
    <row r="328" spans="1:19" s="39" customFormat="1" ht="12.75" hidden="1">
      <c r="A328" s="69">
        <v>3</v>
      </c>
      <c r="B328" s="70"/>
      <c r="C328" s="71" t="s">
        <v>52</v>
      </c>
      <c r="D328" s="72" t="str">
        <f t="shared" si="182"/>
        <v>услуга 19</v>
      </c>
      <c r="E328" s="71"/>
      <c r="F328" s="71">
        <f t="shared" si="180"/>
        <v>0</v>
      </c>
      <c r="G328" s="71">
        <v>7570</v>
      </c>
      <c r="H328" s="73">
        <f aca="true" t="shared" si="189" ref="H328:H335">H$24</f>
        <v>0</v>
      </c>
      <c r="I328" s="73"/>
      <c r="J328" s="71"/>
      <c r="K328" s="74">
        <f t="shared" si="183"/>
        <v>0</v>
      </c>
      <c r="L328" s="71">
        <f t="shared" si="181"/>
        <v>1800</v>
      </c>
      <c r="M328" s="71">
        <f t="shared" si="184"/>
        <v>0</v>
      </c>
      <c r="N328" s="71"/>
      <c r="O328" s="71"/>
      <c r="P328" s="75">
        <f t="shared" si="185"/>
        <v>0</v>
      </c>
      <c r="Q328" s="74">
        <f t="shared" si="186"/>
        <v>0</v>
      </c>
      <c r="R328" s="74">
        <f t="shared" si="187"/>
        <v>0</v>
      </c>
      <c r="S328" s="76">
        <f t="shared" si="188"/>
        <v>0</v>
      </c>
    </row>
    <row r="329" spans="1:19" s="39" customFormat="1" ht="12.75" hidden="1">
      <c r="A329" s="69">
        <v>4</v>
      </c>
      <c r="B329" s="70"/>
      <c r="C329" s="71" t="s">
        <v>52</v>
      </c>
      <c r="D329" s="72" t="str">
        <f t="shared" si="182"/>
        <v>услуга 19</v>
      </c>
      <c r="E329" s="71"/>
      <c r="F329" s="71">
        <f t="shared" si="180"/>
        <v>0</v>
      </c>
      <c r="G329" s="71">
        <v>7570</v>
      </c>
      <c r="H329" s="73">
        <f t="shared" si="189"/>
        <v>0</v>
      </c>
      <c r="I329" s="73"/>
      <c r="J329" s="71"/>
      <c r="K329" s="74">
        <f t="shared" si="183"/>
        <v>0</v>
      </c>
      <c r="L329" s="71">
        <f t="shared" si="181"/>
        <v>1800</v>
      </c>
      <c r="M329" s="71">
        <f t="shared" si="184"/>
        <v>0</v>
      </c>
      <c r="N329" s="71"/>
      <c r="O329" s="71"/>
      <c r="P329" s="75">
        <f t="shared" si="185"/>
        <v>0</v>
      </c>
      <c r="Q329" s="74">
        <f t="shared" si="186"/>
        <v>0</v>
      </c>
      <c r="R329" s="74">
        <f t="shared" si="187"/>
        <v>0</v>
      </c>
      <c r="S329" s="76">
        <f t="shared" si="188"/>
        <v>0</v>
      </c>
    </row>
    <row r="330" spans="1:19" s="39" customFormat="1" ht="12.75" hidden="1">
      <c r="A330" s="69">
        <v>5</v>
      </c>
      <c r="B330" s="70"/>
      <c r="C330" s="71" t="s">
        <v>52</v>
      </c>
      <c r="D330" s="72" t="str">
        <f t="shared" si="182"/>
        <v>услуга 19</v>
      </c>
      <c r="E330" s="71"/>
      <c r="F330" s="71">
        <f t="shared" si="180"/>
        <v>0</v>
      </c>
      <c r="G330" s="71">
        <v>7570</v>
      </c>
      <c r="H330" s="73">
        <f t="shared" si="189"/>
        <v>0</v>
      </c>
      <c r="I330" s="73"/>
      <c r="J330" s="71"/>
      <c r="K330" s="74">
        <f t="shared" si="183"/>
        <v>0</v>
      </c>
      <c r="L330" s="71">
        <f t="shared" si="181"/>
        <v>1800</v>
      </c>
      <c r="M330" s="71">
        <f t="shared" si="184"/>
        <v>0</v>
      </c>
      <c r="N330" s="71"/>
      <c r="O330" s="71"/>
      <c r="P330" s="75">
        <f t="shared" si="185"/>
        <v>0</v>
      </c>
      <c r="Q330" s="74">
        <f t="shared" si="186"/>
        <v>0</v>
      </c>
      <c r="R330" s="74">
        <f t="shared" si="187"/>
        <v>0</v>
      </c>
      <c r="S330" s="76">
        <f t="shared" si="188"/>
        <v>0</v>
      </c>
    </row>
    <row r="331" spans="1:19" s="39" customFormat="1" ht="12.75" hidden="1">
      <c r="A331" s="69">
        <v>6</v>
      </c>
      <c r="B331" s="70"/>
      <c r="C331" s="71" t="s">
        <v>52</v>
      </c>
      <c r="D331" s="72" t="str">
        <f t="shared" si="182"/>
        <v>услуга 19</v>
      </c>
      <c r="E331" s="71"/>
      <c r="F331" s="71">
        <f t="shared" si="180"/>
        <v>0</v>
      </c>
      <c r="G331" s="71">
        <v>7570</v>
      </c>
      <c r="H331" s="73">
        <f t="shared" si="189"/>
        <v>0</v>
      </c>
      <c r="I331" s="73"/>
      <c r="J331" s="71"/>
      <c r="K331" s="74">
        <f t="shared" si="183"/>
        <v>0</v>
      </c>
      <c r="L331" s="71">
        <f t="shared" si="181"/>
        <v>1800</v>
      </c>
      <c r="M331" s="71">
        <f t="shared" si="184"/>
        <v>0</v>
      </c>
      <c r="N331" s="71"/>
      <c r="O331" s="71"/>
      <c r="P331" s="75">
        <f t="shared" si="185"/>
        <v>0</v>
      </c>
      <c r="Q331" s="74">
        <f t="shared" si="186"/>
        <v>0</v>
      </c>
      <c r="R331" s="74">
        <f t="shared" si="187"/>
        <v>0</v>
      </c>
      <c r="S331" s="76">
        <f t="shared" si="188"/>
        <v>0</v>
      </c>
    </row>
    <row r="332" spans="1:19" s="39" customFormat="1" ht="12.75" hidden="1">
      <c r="A332" s="69">
        <v>7</v>
      </c>
      <c r="B332" s="70"/>
      <c r="C332" s="71" t="s">
        <v>52</v>
      </c>
      <c r="D332" s="72" t="str">
        <f t="shared" si="182"/>
        <v>услуга 19</v>
      </c>
      <c r="E332" s="71"/>
      <c r="F332" s="71">
        <f t="shared" si="180"/>
        <v>0</v>
      </c>
      <c r="G332" s="71">
        <v>7570</v>
      </c>
      <c r="H332" s="73">
        <f t="shared" si="189"/>
        <v>0</v>
      </c>
      <c r="I332" s="73"/>
      <c r="J332" s="71"/>
      <c r="K332" s="74">
        <f t="shared" si="183"/>
        <v>0</v>
      </c>
      <c r="L332" s="71">
        <f t="shared" si="181"/>
        <v>1800</v>
      </c>
      <c r="M332" s="71">
        <f t="shared" si="184"/>
        <v>0</v>
      </c>
      <c r="N332" s="71"/>
      <c r="O332" s="71"/>
      <c r="P332" s="75">
        <f t="shared" si="185"/>
        <v>0</v>
      </c>
      <c r="Q332" s="74">
        <f t="shared" si="186"/>
        <v>0</v>
      </c>
      <c r="R332" s="74">
        <f t="shared" si="187"/>
        <v>0</v>
      </c>
      <c r="S332" s="76">
        <f t="shared" si="188"/>
        <v>0</v>
      </c>
    </row>
    <row r="333" spans="1:19" s="39" customFormat="1" ht="12.75" hidden="1">
      <c r="A333" s="69">
        <v>8</v>
      </c>
      <c r="B333" s="70"/>
      <c r="C333" s="71" t="s">
        <v>52</v>
      </c>
      <c r="D333" s="72" t="str">
        <f t="shared" si="182"/>
        <v>услуга 19</v>
      </c>
      <c r="E333" s="71"/>
      <c r="F333" s="71">
        <f t="shared" si="180"/>
        <v>0</v>
      </c>
      <c r="G333" s="71">
        <v>7570</v>
      </c>
      <c r="H333" s="73">
        <f t="shared" si="189"/>
        <v>0</v>
      </c>
      <c r="I333" s="73"/>
      <c r="J333" s="71"/>
      <c r="K333" s="74">
        <f t="shared" si="183"/>
        <v>0</v>
      </c>
      <c r="L333" s="71">
        <f t="shared" si="181"/>
        <v>1800</v>
      </c>
      <c r="M333" s="71">
        <f t="shared" si="184"/>
        <v>0</v>
      </c>
      <c r="N333" s="71"/>
      <c r="O333" s="71"/>
      <c r="P333" s="75">
        <f t="shared" si="185"/>
        <v>0</v>
      </c>
      <c r="Q333" s="74">
        <f t="shared" si="186"/>
        <v>0</v>
      </c>
      <c r="R333" s="74">
        <f t="shared" si="187"/>
        <v>0</v>
      </c>
      <c r="S333" s="76">
        <f t="shared" si="188"/>
        <v>0</v>
      </c>
    </row>
    <row r="334" spans="1:19" s="39" customFormat="1" ht="12.75" hidden="1">
      <c r="A334" s="69">
        <v>9</v>
      </c>
      <c r="B334" s="70"/>
      <c r="C334" s="71" t="s">
        <v>52</v>
      </c>
      <c r="D334" s="72" t="str">
        <f t="shared" si="182"/>
        <v>услуга 19</v>
      </c>
      <c r="E334" s="71"/>
      <c r="F334" s="71">
        <f t="shared" si="180"/>
        <v>0</v>
      </c>
      <c r="G334" s="71">
        <v>7570</v>
      </c>
      <c r="H334" s="73">
        <f t="shared" si="189"/>
        <v>0</v>
      </c>
      <c r="I334" s="73"/>
      <c r="J334" s="71"/>
      <c r="K334" s="74">
        <f t="shared" si="183"/>
        <v>0</v>
      </c>
      <c r="L334" s="71">
        <f t="shared" si="181"/>
        <v>1800</v>
      </c>
      <c r="M334" s="71">
        <f t="shared" si="184"/>
        <v>0</v>
      </c>
      <c r="N334" s="71"/>
      <c r="O334" s="71"/>
      <c r="P334" s="75">
        <f t="shared" si="185"/>
        <v>0</v>
      </c>
      <c r="Q334" s="74">
        <f t="shared" si="186"/>
        <v>0</v>
      </c>
      <c r="R334" s="74">
        <f t="shared" si="187"/>
        <v>0</v>
      </c>
      <c r="S334" s="76">
        <f t="shared" si="188"/>
        <v>0</v>
      </c>
    </row>
    <row r="335" spans="1:19" s="39" customFormat="1" ht="12.75" hidden="1">
      <c r="A335" s="69">
        <v>10</v>
      </c>
      <c r="B335" s="70"/>
      <c r="C335" s="71" t="s">
        <v>52</v>
      </c>
      <c r="D335" s="72" t="str">
        <f t="shared" si="182"/>
        <v>услуга 19</v>
      </c>
      <c r="E335" s="71"/>
      <c r="F335" s="71">
        <f t="shared" si="180"/>
        <v>0</v>
      </c>
      <c r="G335" s="71">
        <v>7570</v>
      </c>
      <c r="H335" s="73">
        <f t="shared" si="189"/>
        <v>0</v>
      </c>
      <c r="I335" s="73"/>
      <c r="J335" s="71"/>
      <c r="K335" s="74">
        <f t="shared" si="183"/>
        <v>0</v>
      </c>
      <c r="L335" s="71">
        <f t="shared" si="181"/>
        <v>1800</v>
      </c>
      <c r="M335" s="71">
        <f t="shared" si="184"/>
        <v>0</v>
      </c>
      <c r="N335" s="71"/>
      <c r="O335" s="71"/>
      <c r="P335" s="75">
        <f t="shared" si="185"/>
        <v>0</v>
      </c>
      <c r="Q335" s="74">
        <f t="shared" si="186"/>
        <v>0</v>
      </c>
      <c r="R335" s="74">
        <f t="shared" si="187"/>
        <v>0</v>
      </c>
      <c r="S335" s="76">
        <f t="shared" si="188"/>
        <v>0</v>
      </c>
    </row>
    <row r="336" spans="1:19" s="39" customFormat="1" ht="13.5" hidden="1" thickBot="1">
      <c r="A336" s="113"/>
      <c r="B336" s="114"/>
      <c r="C336" s="114"/>
      <c r="D336" s="114" t="s">
        <v>53</v>
      </c>
      <c r="E336" s="114"/>
      <c r="F336" s="115">
        <f>SUM(F326:F335)</f>
        <v>0</v>
      </c>
      <c r="G336" s="114"/>
      <c r="H336" s="114"/>
      <c r="I336" s="114"/>
      <c r="J336" s="114"/>
      <c r="K336" s="116"/>
      <c r="L336" s="114"/>
      <c r="M336" s="117">
        <f>SUM(M326:M335)</f>
        <v>0</v>
      </c>
      <c r="N336" s="117">
        <f>SUM(N326:N335)</f>
        <v>0</v>
      </c>
      <c r="O336" s="117">
        <f>SUM(O326:O335)</f>
        <v>0</v>
      </c>
      <c r="P336" s="114"/>
      <c r="Q336" s="115">
        <f>SUM(Q326:Q335)</f>
        <v>0</v>
      </c>
      <c r="R336" s="115">
        <f>SUM(R326:R335)</f>
        <v>0</v>
      </c>
      <c r="S336" s="143">
        <f>SUM(S326:S335)</f>
        <v>0</v>
      </c>
    </row>
    <row r="337" spans="1:19" s="39" customFormat="1" ht="12.75" hidden="1">
      <c r="A337" s="118"/>
      <c r="B337" s="92"/>
      <c r="C337" s="92"/>
      <c r="D337" s="92"/>
      <c r="E337" s="92"/>
      <c r="F337" s="93"/>
      <c r="G337" s="92"/>
      <c r="H337" s="92"/>
      <c r="I337" s="92"/>
      <c r="J337" s="92"/>
      <c r="K337" s="94"/>
      <c r="L337" s="92"/>
      <c r="M337" s="95"/>
      <c r="N337" s="95">
        <f>доходы!C30</f>
        <v>0</v>
      </c>
      <c r="O337" s="96" t="s">
        <v>116</v>
      </c>
      <c r="P337" s="119"/>
      <c r="Q337" s="120"/>
      <c r="R337" s="121"/>
      <c r="S337" s="136"/>
    </row>
    <row r="338" spans="1:19" s="39" customFormat="1" ht="12.75" hidden="1">
      <c r="A338" s="137" t="s">
        <v>134</v>
      </c>
      <c r="B338" s="138" t="str">
        <f>доходы!B31</f>
        <v>услуга 20</v>
      </c>
      <c r="C338" s="92"/>
      <c r="D338" s="92"/>
      <c r="E338" s="92"/>
      <c r="F338" s="139"/>
      <c r="G338" s="139"/>
      <c r="H338" s="139"/>
      <c r="I338" s="139"/>
      <c r="J338" s="139"/>
      <c r="K338" s="140"/>
      <c r="L338" s="139"/>
      <c r="M338" s="139"/>
      <c r="N338" s="139"/>
      <c r="O338" s="139"/>
      <c r="P338" s="139"/>
      <c r="Q338" s="139"/>
      <c r="R338" s="139"/>
      <c r="S338" s="141"/>
    </row>
    <row r="339" spans="1:19" s="39" customFormat="1" ht="13.5" hidden="1" thickBot="1">
      <c r="A339" s="142"/>
      <c r="B339" s="139"/>
      <c r="C339" s="139"/>
      <c r="D339" s="139"/>
      <c r="E339" s="139"/>
      <c r="F339" s="139"/>
      <c r="G339" s="139"/>
      <c r="H339" s="139"/>
      <c r="I339" s="139"/>
      <c r="J339" s="139"/>
      <c r="K339" s="140"/>
      <c r="L339" s="139"/>
      <c r="M339" s="139"/>
      <c r="N339" s="139"/>
      <c r="O339" s="139"/>
      <c r="P339" s="139"/>
      <c r="Q339" s="139"/>
      <c r="R339" s="139"/>
      <c r="S339" s="141"/>
    </row>
    <row r="340" spans="1:19" s="39" customFormat="1" ht="51.75" hidden="1" thickBot="1">
      <c r="A340" s="99" t="s">
        <v>1</v>
      </c>
      <c r="B340" s="99" t="s">
        <v>2</v>
      </c>
      <c r="C340" s="99" t="s">
        <v>8</v>
      </c>
      <c r="D340" s="99" t="s">
        <v>3</v>
      </c>
      <c r="E340" s="99" t="s">
        <v>4</v>
      </c>
      <c r="F340" s="99" t="s">
        <v>5</v>
      </c>
      <c r="G340" s="99" t="s">
        <v>64</v>
      </c>
      <c r="H340" s="99" t="s">
        <v>117</v>
      </c>
      <c r="I340" s="99" t="s">
        <v>99</v>
      </c>
      <c r="J340" s="99" t="s">
        <v>65</v>
      </c>
      <c r="K340" s="100" t="s">
        <v>66</v>
      </c>
      <c r="L340" s="99" t="s">
        <v>67</v>
      </c>
      <c r="M340" s="99" t="s">
        <v>6</v>
      </c>
      <c r="N340" s="99" t="s">
        <v>54</v>
      </c>
      <c r="O340" s="99" t="s">
        <v>7</v>
      </c>
      <c r="P340" s="99" t="s">
        <v>48</v>
      </c>
      <c r="Q340" s="99" t="s">
        <v>49</v>
      </c>
      <c r="R340" s="99" t="s">
        <v>50</v>
      </c>
      <c r="S340" s="99" t="s">
        <v>51</v>
      </c>
    </row>
    <row r="341" spans="1:19" s="39" customFormat="1" ht="12.75" hidden="1">
      <c r="A341" s="101">
        <v>1</v>
      </c>
      <c r="B341" s="102">
        <v>2</v>
      </c>
      <c r="C341" s="102">
        <v>3</v>
      </c>
      <c r="D341" s="102">
        <v>4</v>
      </c>
      <c r="E341" s="102">
        <v>5</v>
      </c>
      <c r="F341" s="102">
        <v>6</v>
      </c>
      <c r="G341" s="102">
        <v>7</v>
      </c>
      <c r="H341" s="102">
        <v>8</v>
      </c>
      <c r="I341" s="102">
        <v>9</v>
      </c>
      <c r="J341" s="102">
        <v>10</v>
      </c>
      <c r="K341" s="104">
        <v>11</v>
      </c>
      <c r="L341" s="102">
        <v>12</v>
      </c>
      <c r="M341" s="102">
        <v>13</v>
      </c>
      <c r="N341" s="102">
        <v>14</v>
      </c>
      <c r="O341" s="102">
        <v>15</v>
      </c>
      <c r="P341" s="102">
        <v>16</v>
      </c>
      <c r="Q341" s="102">
        <v>17</v>
      </c>
      <c r="R341" s="102">
        <v>18</v>
      </c>
      <c r="S341" s="105">
        <v>19</v>
      </c>
    </row>
    <row r="342" spans="1:19" s="39" customFormat="1" ht="12.75" hidden="1">
      <c r="A342" s="69">
        <v>1</v>
      </c>
      <c r="B342" s="70" t="s">
        <v>118</v>
      </c>
      <c r="C342" s="71" t="s">
        <v>52</v>
      </c>
      <c r="D342" s="72" t="str">
        <f>B$338</f>
        <v>услуга 20</v>
      </c>
      <c r="E342" s="71"/>
      <c r="F342" s="71">
        <f aca="true" t="shared" si="190" ref="F342:F351">ROUND(O342/18/4,2)</f>
        <v>0</v>
      </c>
      <c r="G342" s="71">
        <v>7570</v>
      </c>
      <c r="H342" s="73">
        <v>0.15</v>
      </c>
      <c r="I342" s="73">
        <v>0</v>
      </c>
      <c r="J342" s="71"/>
      <c r="K342" s="74">
        <f>(G342+G342*(H342+I342))*J342</f>
        <v>0</v>
      </c>
      <c r="L342" s="71">
        <f aca="true" t="shared" si="191" ref="L342:L351">18*25*4</f>
        <v>1800</v>
      </c>
      <c r="M342" s="71">
        <f>N342*O342</f>
        <v>0</v>
      </c>
      <c r="N342" s="71"/>
      <c r="O342" s="71"/>
      <c r="P342" s="75">
        <f>ROUND(K342/L342,2)</f>
        <v>0</v>
      </c>
      <c r="Q342" s="74">
        <f>N342*O342*P342</f>
        <v>0</v>
      </c>
      <c r="R342" s="74">
        <f>Q342*0.15</f>
        <v>0</v>
      </c>
      <c r="S342" s="76">
        <f>Q342+R342</f>
        <v>0</v>
      </c>
    </row>
    <row r="343" spans="1:19" s="39" customFormat="1" ht="12.75" hidden="1">
      <c r="A343" s="69">
        <v>2</v>
      </c>
      <c r="B343" s="70"/>
      <c r="C343" s="71" t="s">
        <v>52</v>
      </c>
      <c r="D343" s="72" t="str">
        <f aca="true" t="shared" si="192" ref="D343:D351">B$338</f>
        <v>услуга 20</v>
      </c>
      <c r="E343" s="71"/>
      <c r="F343" s="71">
        <f t="shared" si="190"/>
        <v>0</v>
      </c>
      <c r="G343" s="71">
        <v>7570</v>
      </c>
      <c r="H343" s="73">
        <f>H$24</f>
        <v>0</v>
      </c>
      <c r="I343" s="73">
        <v>0</v>
      </c>
      <c r="J343" s="71"/>
      <c r="K343" s="74">
        <f aca="true" t="shared" si="193" ref="K343:K351">(G343+G343*(H343+I343))*J343</f>
        <v>0</v>
      </c>
      <c r="L343" s="71">
        <f t="shared" si="191"/>
        <v>1800</v>
      </c>
      <c r="M343" s="71">
        <f aca="true" t="shared" si="194" ref="M343:M351">N343*O343</f>
        <v>0</v>
      </c>
      <c r="N343" s="71"/>
      <c r="O343" s="71"/>
      <c r="P343" s="75">
        <f aca="true" t="shared" si="195" ref="P343:P351">ROUND(K343/L343,2)</f>
        <v>0</v>
      </c>
      <c r="Q343" s="74">
        <f aca="true" t="shared" si="196" ref="Q343:Q351">N343*O343*P343</f>
        <v>0</v>
      </c>
      <c r="R343" s="74">
        <f aca="true" t="shared" si="197" ref="R343:R351">Q343*0.15</f>
        <v>0</v>
      </c>
      <c r="S343" s="76">
        <f aca="true" t="shared" si="198" ref="S343:S351">Q343+R343</f>
        <v>0</v>
      </c>
    </row>
    <row r="344" spans="1:19" s="39" customFormat="1" ht="12.75" hidden="1">
      <c r="A344" s="69">
        <v>3</v>
      </c>
      <c r="B344" s="70"/>
      <c r="C344" s="71" t="s">
        <v>52</v>
      </c>
      <c r="D344" s="72" t="str">
        <f t="shared" si="192"/>
        <v>услуга 20</v>
      </c>
      <c r="E344" s="71"/>
      <c r="F344" s="71">
        <f t="shared" si="190"/>
        <v>0</v>
      </c>
      <c r="G344" s="71">
        <v>7570</v>
      </c>
      <c r="H344" s="73">
        <f aca="true" t="shared" si="199" ref="H344:H351">H$24</f>
        <v>0</v>
      </c>
      <c r="I344" s="73"/>
      <c r="J344" s="71"/>
      <c r="K344" s="74">
        <f t="shared" si="193"/>
        <v>0</v>
      </c>
      <c r="L344" s="71">
        <f t="shared" si="191"/>
        <v>1800</v>
      </c>
      <c r="M344" s="71">
        <f t="shared" si="194"/>
        <v>0</v>
      </c>
      <c r="N344" s="71"/>
      <c r="O344" s="71"/>
      <c r="P344" s="75">
        <f t="shared" si="195"/>
        <v>0</v>
      </c>
      <c r="Q344" s="74">
        <f t="shared" si="196"/>
        <v>0</v>
      </c>
      <c r="R344" s="74">
        <f t="shared" si="197"/>
        <v>0</v>
      </c>
      <c r="S344" s="76">
        <f t="shared" si="198"/>
        <v>0</v>
      </c>
    </row>
    <row r="345" spans="1:19" s="39" customFormat="1" ht="12.75" hidden="1">
      <c r="A345" s="69">
        <v>4</v>
      </c>
      <c r="B345" s="70"/>
      <c r="C345" s="71" t="s">
        <v>52</v>
      </c>
      <c r="D345" s="72" t="str">
        <f t="shared" si="192"/>
        <v>услуга 20</v>
      </c>
      <c r="E345" s="71"/>
      <c r="F345" s="71">
        <f t="shared" si="190"/>
        <v>0</v>
      </c>
      <c r="G345" s="71">
        <v>7570</v>
      </c>
      <c r="H345" s="73">
        <f t="shared" si="199"/>
        <v>0</v>
      </c>
      <c r="I345" s="73"/>
      <c r="J345" s="71"/>
      <c r="K345" s="74">
        <f t="shared" si="193"/>
        <v>0</v>
      </c>
      <c r="L345" s="71">
        <f t="shared" si="191"/>
        <v>1800</v>
      </c>
      <c r="M345" s="71">
        <f t="shared" si="194"/>
        <v>0</v>
      </c>
      <c r="N345" s="71"/>
      <c r="O345" s="71"/>
      <c r="P345" s="75">
        <f t="shared" si="195"/>
        <v>0</v>
      </c>
      <c r="Q345" s="74">
        <f t="shared" si="196"/>
        <v>0</v>
      </c>
      <c r="R345" s="74">
        <f t="shared" si="197"/>
        <v>0</v>
      </c>
      <c r="S345" s="76">
        <f t="shared" si="198"/>
        <v>0</v>
      </c>
    </row>
    <row r="346" spans="1:19" s="39" customFormat="1" ht="12.75" hidden="1">
      <c r="A346" s="69">
        <v>5</v>
      </c>
      <c r="B346" s="70"/>
      <c r="C346" s="71" t="s">
        <v>52</v>
      </c>
      <c r="D346" s="72" t="str">
        <f t="shared" si="192"/>
        <v>услуга 20</v>
      </c>
      <c r="E346" s="71"/>
      <c r="F346" s="71">
        <f t="shared" si="190"/>
        <v>0</v>
      </c>
      <c r="G346" s="71">
        <v>7570</v>
      </c>
      <c r="H346" s="73">
        <f t="shared" si="199"/>
        <v>0</v>
      </c>
      <c r="I346" s="73"/>
      <c r="J346" s="71"/>
      <c r="K346" s="74">
        <f t="shared" si="193"/>
        <v>0</v>
      </c>
      <c r="L346" s="71">
        <f t="shared" si="191"/>
        <v>1800</v>
      </c>
      <c r="M346" s="71">
        <f t="shared" si="194"/>
        <v>0</v>
      </c>
      <c r="N346" s="71"/>
      <c r="O346" s="71"/>
      <c r="P346" s="75">
        <f t="shared" si="195"/>
        <v>0</v>
      </c>
      <c r="Q346" s="74">
        <f t="shared" si="196"/>
        <v>0</v>
      </c>
      <c r="R346" s="74">
        <f t="shared" si="197"/>
        <v>0</v>
      </c>
      <c r="S346" s="76">
        <f t="shared" si="198"/>
        <v>0</v>
      </c>
    </row>
    <row r="347" spans="1:19" s="39" customFormat="1" ht="12.75" hidden="1">
      <c r="A347" s="69">
        <v>6</v>
      </c>
      <c r="B347" s="70"/>
      <c r="C347" s="71" t="s">
        <v>52</v>
      </c>
      <c r="D347" s="72" t="str">
        <f t="shared" si="192"/>
        <v>услуга 20</v>
      </c>
      <c r="E347" s="71"/>
      <c r="F347" s="71">
        <f t="shared" si="190"/>
        <v>0</v>
      </c>
      <c r="G347" s="71">
        <v>7570</v>
      </c>
      <c r="H347" s="73">
        <f t="shared" si="199"/>
        <v>0</v>
      </c>
      <c r="I347" s="73"/>
      <c r="J347" s="71"/>
      <c r="K347" s="74">
        <f t="shared" si="193"/>
        <v>0</v>
      </c>
      <c r="L347" s="71">
        <f t="shared" si="191"/>
        <v>1800</v>
      </c>
      <c r="M347" s="71">
        <f t="shared" si="194"/>
        <v>0</v>
      </c>
      <c r="N347" s="71"/>
      <c r="O347" s="71"/>
      <c r="P347" s="75">
        <f t="shared" si="195"/>
        <v>0</v>
      </c>
      <c r="Q347" s="74">
        <f t="shared" si="196"/>
        <v>0</v>
      </c>
      <c r="R347" s="74">
        <f t="shared" si="197"/>
        <v>0</v>
      </c>
      <c r="S347" s="76">
        <f t="shared" si="198"/>
        <v>0</v>
      </c>
    </row>
    <row r="348" spans="1:19" s="39" customFormat="1" ht="12.75" hidden="1">
      <c r="A348" s="69">
        <v>7</v>
      </c>
      <c r="B348" s="70"/>
      <c r="C348" s="71" t="s">
        <v>52</v>
      </c>
      <c r="D348" s="72" t="str">
        <f t="shared" si="192"/>
        <v>услуга 20</v>
      </c>
      <c r="E348" s="71"/>
      <c r="F348" s="71">
        <f t="shared" si="190"/>
        <v>0</v>
      </c>
      <c r="G348" s="71">
        <v>7570</v>
      </c>
      <c r="H348" s="73">
        <f t="shared" si="199"/>
        <v>0</v>
      </c>
      <c r="I348" s="73"/>
      <c r="J348" s="71"/>
      <c r="K348" s="74">
        <f t="shared" si="193"/>
        <v>0</v>
      </c>
      <c r="L348" s="71">
        <f t="shared" si="191"/>
        <v>1800</v>
      </c>
      <c r="M348" s="71">
        <f t="shared" si="194"/>
        <v>0</v>
      </c>
      <c r="N348" s="71"/>
      <c r="O348" s="71"/>
      <c r="P348" s="75">
        <f t="shared" si="195"/>
        <v>0</v>
      </c>
      <c r="Q348" s="74">
        <f t="shared" si="196"/>
        <v>0</v>
      </c>
      <c r="R348" s="74">
        <f t="shared" si="197"/>
        <v>0</v>
      </c>
      <c r="S348" s="76">
        <f t="shared" si="198"/>
        <v>0</v>
      </c>
    </row>
    <row r="349" spans="1:19" s="39" customFormat="1" ht="12.75" hidden="1">
      <c r="A349" s="69">
        <v>8</v>
      </c>
      <c r="B349" s="70"/>
      <c r="C349" s="71" t="s">
        <v>52</v>
      </c>
      <c r="D349" s="72" t="str">
        <f t="shared" si="192"/>
        <v>услуга 20</v>
      </c>
      <c r="E349" s="71"/>
      <c r="F349" s="71">
        <f t="shared" si="190"/>
        <v>0</v>
      </c>
      <c r="G349" s="71">
        <v>7570</v>
      </c>
      <c r="H349" s="73">
        <f t="shared" si="199"/>
        <v>0</v>
      </c>
      <c r="I349" s="73"/>
      <c r="J349" s="71"/>
      <c r="K349" s="74">
        <f t="shared" si="193"/>
        <v>0</v>
      </c>
      <c r="L349" s="71">
        <f t="shared" si="191"/>
        <v>1800</v>
      </c>
      <c r="M349" s="71">
        <f t="shared" si="194"/>
        <v>0</v>
      </c>
      <c r="N349" s="71"/>
      <c r="O349" s="71"/>
      <c r="P349" s="75">
        <f t="shared" si="195"/>
        <v>0</v>
      </c>
      <c r="Q349" s="74">
        <f t="shared" si="196"/>
        <v>0</v>
      </c>
      <c r="R349" s="74">
        <f t="shared" si="197"/>
        <v>0</v>
      </c>
      <c r="S349" s="76">
        <f t="shared" si="198"/>
        <v>0</v>
      </c>
    </row>
    <row r="350" spans="1:19" s="39" customFormat="1" ht="12.75" hidden="1">
      <c r="A350" s="69">
        <v>9</v>
      </c>
      <c r="B350" s="70"/>
      <c r="C350" s="71" t="s">
        <v>52</v>
      </c>
      <c r="D350" s="72" t="str">
        <f t="shared" si="192"/>
        <v>услуга 20</v>
      </c>
      <c r="E350" s="71"/>
      <c r="F350" s="71">
        <f t="shared" si="190"/>
        <v>0</v>
      </c>
      <c r="G350" s="71">
        <v>7570</v>
      </c>
      <c r="H350" s="73">
        <f t="shared" si="199"/>
        <v>0</v>
      </c>
      <c r="I350" s="73"/>
      <c r="J350" s="71"/>
      <c r="K350" s="74">
        <f t="shared" si="193"/>
        <v>0</v>
      </c>
      <c r="L350" s="71">
        <f t="shared" si="191"/>
        <v>1800</v>
      </c>
      <c r="M350" s="71">
        <f t="shared" si="194"/>
        <v>0</v>
      </c>
      <c r="N350" s="71"/>
      <c r="O350" s="71"/>
      <c r="P350" s="75">
        <f t="shared" si="195"/>
        <v>0</v>
      </c>
      <c r="Q350" s="74">
        <f t="shared" si="196"/>
        <v>0</v>
      </c>
      <c r="R350" s="74">
        <f t="shared" si="197"/>
        <v>0</v>
      </c>
      <c r="S350" s="76">
        <f t="shared" si="198"/>
        <v>0</v>
      </c>
    </row>
    <row r="351" spans="1:19" s="39" customFormat="1" ht="12.75" hidden="1">
      <c r="A351" s="69">
        <v>10</v>
      </c>
      <c r="B351" s="70"/>
      <c r="C351" s="71" t="s">
        <v>52</v>
      </c>
      <c r="D351" s="72" t="str">
        <f t="shared" si="192"/>
        <v>услуга 20</v>
      </c>
      <c r="E351" s="71"/>
      <c r="F351" s="71">
        <f t="shared" si="190"/>
        <v>0</v>
      </c>
      <c r="G351" s="71">
        <v>7570</v>
      </c>
      <c r="H351" s="73">
        <f t="shared" si="199"/>
        <v>0</v>
      </c>
      <c r="I351" s="73"/>
      <c r="J351" s="71"/>
      <c r="K351" s="74">
        <f t="shared" si="193"/>
        <v>0</v>
      </c>
      <c r="L351" s="71">
        <f t="shared" si="191"/>
        <v>1800</v>
      </c>
      <c r="M351" s="71">
        <f t="shared" si="194"/>
        <v>0</v>
      </c>
      <c r="N351" s="71"/>
      <c r="O351" s="71"/>
      <c r="P351" s="75">
        <f t="shared" si="195"/>
        <v>0</v>
      </c>
      <c r="Q351" s="74">
        <f t="shared" si="196"/>
        <v>0</v>
      </c>
      <c r="R351" s="74">
        <f t="shared" si="197"/>
        <v>0</v>
      </c>
      <c r="S351" s="76">
        <f t="shared" si="198"/>
        <v>0</v>
      </c>
    </row>
    <row r="352" spans="1:19" s="39" customFormat="1" ht="13.5" hidden="1" thickBot="1">
      <c r="A352" s="113"/>
      <c r="B352" s="114"/>
      <c r="C352" s="114"/>
      <c r="D352" s="114" t="s">
        <v>53</v>
      </c>
      <c r="E352" s="114"/>
      <c r="F352" s="115">
        <f>SUM(F342:F351)</f>
        <v>0</v>
      </c>
      <c r="G352" s="114"/>
      <c r="H352" s="114"/>
      <c r="I352" s="114"/>
      <c r="J352" s="114"/>
      <c r="K352" s="116"/>
      <c r="L352" s="114"/>
      <c r="M352" s="117">
        <f>SUM(M342:M351)</f>
        <v>0</v>
      </c>
      <c r="N352" s="117">
        <f>SUM(N342:N351)</f>
        <v>0</v>
      </c>
      <c r="O352" s="117">
        <f>SUM(O342:O351)</f>
        <v>0</v>
      </c>
      <c r="P352" s="114"/>
      <c r="Q352" s="115">
        <f>SUM(Q342:Q351)</f>
        <v>0</v>
      </c>
      <c r="R352" s="115">
        <f>SUM(R342:R351)</f>
        <v>0</v>
      </c>
      <c r="S352" s="143">
        <f>SUM(S342:S351)</f>
        <v>0</v>
      </c>
    </row>
    <row r="353" spans="1:19" s="39" customFormat="1" ht="12.75" hidden="1">
      <c r="A353" s="118"/>
      <c r="B353" s="92"/>
      <c r="C353" s="92"/>
      <c r="D353" s="92"/>
      <c r="E353" s="92"/>
      <c r="F353" s="93"/>
      <c r="G353" s="92"/>
      <c r="H353" s="92"/>
      <c r="I353" s="92"/>
      <c r="J353" s="92"/>
      <c r="K353" s="94"/>
      <c r="L353" s="92"/>
      <c r="M353" s="95"/>
      <c r="N353" s="95">
        <f>доходы!C31</f>
        <v>0</v>
      </c>
      <c r="O353" s="96" t="s">
        <v>116</v>
      </c>
      <c r="P353" s="119"/>
      <c r="Q353" s="120"/>
      <c r="R353" s="121"/>
      <c r="S353" s="136"/>
    </row>
    <row r="354" spans="1:19" s="39" customFormat="1" ht="12.75" hidden="1">
      <c r="A354" s="137" t="s">
        <v>135</v>
      </c>
      <c r="B354" s="138" t="str">
        <f>доходы!B32</f>
        <v>услуга 21</v>
      </c>
      <c r="C354" s="92"/>
      <c r="D354" s="92"/>
      <c r="E354" s="92"/>
      <c r="F354" s="139"/>
      <c r="G354" s="139"/>
      <c r="H354" s="139"/>
      <c r="I354" s="139"/>
      <c r="J354" s="139"/>
      <c r="K354" s="140"/>
      <c r="L354" s="139"/>
      <c r="M354" s="139"/>
      <c r="N354" s="139"/>
      <c r="O354" s="139"/>
      <c r="P354" s="139"/>
      <c r="Q354" s="139"/>
      <c r="R354" s="139"/>
      <c r="S354" s="141"/>
    </row>
    <row r="355" spans="1:19" s="39" customFormat="1" ht="13.5" hidden="1" thickBot="1">
      <c r="A355" s="142"/>
      <c r="B355" s="139"/>
      <c r="C355" s="139"/>
      <c r="D355" s="139"/>
      <c r="E355" s="139"/>
      <c r="F355" s="139"/>
      <c r="G355" s="139"/>
      <c r="H355" s="139"/>
      <c r="I355" s="139"/>
      <c r="J355" s="139"/>
      <c r="K355" s="140"/>
      <c r="L355" s="139"/>
      <c r="M355" s="139"/>
      <c r="N355" s="139"/>
      <c r="O355" s="139"/>
      <c r="P355" s="139"/>
      <c r="Q355" s="139"/>
      <c r="R355" s="139"/>
      <c r="S355" s="141"/>
    </row>
    <row r="356" spans="1:19" s="39" customFormat="1" ht="51.75" hidden="1" thickBot="1">
      <c r="A356" s="99" t="s">
        <v>1</v>
      </c>
      <c r="B356" s="99" t="s">
        <v>2</v>
      </c>
      <c r="C356" s="99" t="s">
        <v>8</v>
      </c>
      <c r="D356" s="99" t="s">
        <v>3</v>
      </c>
      <c r="E356" s="99" t="s">
        <v>4</v>
      </c>
      <c r="F356" s="99" t="s">
        <v>5</v>
      </c>
      <c r="G356" s="99" t="s">
        <v>64</v>
      </c>
      <c r="H356" s="99" t="s">
        <v>117</v>
      </c>
      <c r="I356" s="99" t="s">
        <v>99</v>
      </c>
      <c r="J356" s="99" t="s">
        <v>65</v>
      </c>
      <c r="K356" s="100" t="s">
        <v>66</v>
      </c>
      <c r="L356" s="99" t="s">
        <v>67</v>
      </c>
      <c r="M356" s="99" t="s">
        <v>6</v>
      </c>
      <c r="N356" s="99" t="s">
        <v>54</v>
      </c>
      <c r="O356" s="99" t="s">
        <v>7</v>
      </c>
      <c r="P356" s="99" t="s">
        <v>48</v>
      </c>
      <c r="Q356" s="99" t="s">
        <v>49</v>
      </c>
      <c r="R356" s="99" t="s">
        <v>50</v>
      </c>
      <c r="S356" s="99" t="s">
        <v>51</v>
      </c>
    </row>
    <row r="357" spans="1:19" s="39" customFormat="1" ht="12.75" hidden="1">
      <c r="A357" s="101">
        <v>1</v>
      </c>
      <c r="B357" s="102">
        <v>2</v>
      </c>
      <c r="C357" s="102">
        <v>3</v>
      </c>
      <c r="D357" s="102">
        <v>4</v>
      </c>
      <c r="E357" s="102">
        <v>5</v>
      </c>
      <c r="F357" s="102">
        <v>6</v>
      </c>
      <c r="G357" s="102">
        <v>7</v>
      </c>
      <c r="H357" s="102">
        <v>8</v>
      </c>
      <c r="I357" s="102">
        <v>9</v>
      </c>
      <c r="J357" s="102">
        <v>10</v>
      </c>
      <c r="K357" s="104">
        <v>11</v>
      </c>
      <c r="L357" s="102">
        <v>12</v>
      </c>
      <c r="M357" s="102">
        <v>13</v>
      </c>
      <c r="N357" s="102">
        <v>14</v>
      </c>
      <c r="O357" s="102">
        <v>15</v>
      </c>
      <c r="P357" s="102">
        <v>16</v>
      </c>
      <c r="Q357" s="102">
        <v>17</v>
      </c>
      <c r="R357" s="102">
        <v>18</v>
      </c>
      <c r="S357" s="105">
        <v>19</v>
      </c>
    </row>
    <row r="358" spans="1:19" s="39" customFormat="1" ht="12.75" hidden="1">
      <c r="A358" s="69">
        <v>1</v>
      </c>
      <c r="B358" s="70" t="s">
        <v>118</v>
      </c>
      <c r="C358" s="71" t="s">
        <v>52</v>
      </c>
      <c r="D358" s="72" t="str">
        <f>B$354</f>
        <v>услуга 21</v>
      </c>
      <c r="E358" s="71"/>
      <c r="F358" s="71">
        <f aca="true" t="shared" si="200" ref="F358:F367">ROUND(O358/18/4,2)</f>
        <v>0</v>
      </c>
      <c r="G358" s="71">
        <v>7570</v>
      </c>
      <c r="H358" s="73">
        <v>0.15</v>
      </c>
      <c r="I358" s="73">
        <v>0</v>
      </c>
      <c r="J358" s="71"/>
      <c r="K358" s="74">
        <f>(G358+G358*(H358+I358))*J358</f>
        <v>0</v>
      </c>
      <c r="L358" s="71">
        <f aca="true" t="shared" si="201" ref="L358:L367">18*25*4</f>
        <v>1800</v>
      </c>
      <c r="M358" s="71">
        <f>N358*O358</f>
        <v>0</v>
      </c>
      <c r="N358" s="71"/>
      <c r="O358" s="71"/>
      <c r="P358" s="75">
        <f>ROUND(K358/L358,2)</f>
        <v>0</v>
      </c>
      <c r="Q358" s="74">
        <f>N358*O358*P358</f>
        <v>0</v>
      </c>
      <c r="R358" s="74">
        <f>Q358*0.15</f>
        <v>0</v>
      </c>
      <c r="S358" s="76">
        <f>Q358+R358</f>
        <v>0</v>
      </c>
    </row>
    <row r="359" spans="1:19" s="39" customFormat="1" ht="12.75" hidden="1">
      <c r="A359" s="69">
        <v>2</v>
      </c>
      <c r="B359" s="70"/>
      <c r="C359" s="71" t="s">
        <v>52</v>
      </c>
      <c r="D359" s="72" t="str">
        <f aca="true" t="shared" si="202" ref="D359:D367">B$354</f>
        <v>услуга 21</v>
      </c>
      <c r="E359" s="71"/>
      <c r="F359" s="71">
        <f t="shared" si="200"/>
        <v>0</v>
      </c>
      <c r="G359" s="71">
        <v>7570</v>
      </c>
      <c r="H359" s="73">
        <f>H$24</f>
        <v>0</v>
      </c>
      <c r="I359" s="73">
        <v>0</v>
      </c>
      <c r="J359" s="71"/>
      <c r="K359" s="74">
        <f aca="true" t="shared" si="203" ref="K359:K367">(G359+G359*(H359+I359))*J359</f>
        <v>0</v>
      </c>
      <c r="L359" s="71">
        <f t="shared" si="201"/>
        <v>1800</v>
      </c>
      <c r="M359" s="71">
        <f aca="true" t="shared" si="204" ref="M359:M367">N359*O359</f>
        <v>0</v>
      </c>
      <c r="N359" s="71"/>
      <c r="O359" s="71"/>
      <c r="P359" s="75">
        <f aca="true" t="shared" si="205" ref="P359:P367">ROUND(K359/L359,2)</f>
        <v>0</v>
      </c>
      <c r="Q359" s="74">
        <f aca="true" t="shared" si="206" ref="Q359:Q367">N359*O359*P359</f>
        <v>0</v>
      </c>
      <c r="R359" s="74">
        <f aca="true" t="shared" si="207" ref="R359:R367">Q359*0.15</f>
        <v>0</v>
      </c>
      <c r="S359" s="76">
        <f aca="true" t="shared" si="208" ref="S359:S367">Q359+R359</f>
        <v>0</v>
      </c>
    </row>
    <row r="360" spans="1:19" s="39" customFormat="1" ht="12.75" hidden="1">
      <c r="A360" s="69">
        <v>3</v>
      </c>
      <c r="B360" s="70"/>
      <c r="C360" s="71" t="s">
        <v>52</v>
      </c>
      <c r="D360" s="72" t="str">
        <f t="shared" si="202"/>
        <v>услуга 21</v>
      </c>
      <c r="E360" s="71"/>
      <c r="F360" s="71">
        <f t="shared" si="200"/>
        <v>0</v>
      </c>
      <c r="G360" s="71">
        <v>7570</v>
      </c>
      <c r="H360" s="73">
        <f aca="true" t="shared" si="209" ref="H360:H367">H$24</f>
        <v>0</v>
      </c>
      <c r="I360" s="73"/>
      <c r="J360" s="71"/>
      <c r="K360" s="74">
        <f t="shared" si="203"/>
        <v>0</v>
      </c>
      <c r="L360" s="71">
        <f t="shared" si="201"/>
        <v>1800</v>
      </c>
      <c r="M360" s="71">
        <f t="shared" si="204"/>
        <v>0</v>
      </c>
      <c r="N360" s="71"/>
      <c r="O360" s="71"/>
      <c r="P360" s="75">
        <f t="shared" si="205"/>
        <v>0</v>
      </c>
      <c r="Q360" s="74">
        <f t="shared" si="206"/>
        <v>0</v>
      </c>
      <c r="R360" s="74">
        <f t="shared" si="207"/>
        <v>0</v>
      </c>
      <c r="S360" s="76">
        <f t="shared" si="208"/>
        <v>0</v>
      </c>
    </row>
    <row r="361" spans="1:19" s="39" customFormat="1" ht="12.75" hidden="1">
      <c r="A361" s="69">
        <v>4</v>
      </c>
      <c r="B361" s="70"/>
      <c r="C361" s="71" t="s">
        <v>52</v>
      </c>
      <c r="D361" s="72" t="str">
        <f t="shared" si="202"/>
        <v>услуга 21</v>
      </c>
      <c r="E361" s="71"/>
      <c r="F361" s="71">
        <f t="shared" si="200"/>
        <v>0</v>
      </c>
      <c r="G361" s="71">
        <v>7570</v>
      </c>
      <c r="H361" s="73">
        <f t="shared" si="209"/>
        <v>0</v>
      </c>
      <c r="I361" s="73"/>
      <c r="J361" s="71"/>
      <c r="K361" s="74">
        <f t="shared" si="203"/>
        <v>0</v>
      </c>
      <c r="L361" s="71">
        <f t="shared" si="201"/>
        <v>1800</v>
      </c>
      <c r="M361" s="71">
        <f t="shared" si="204"/>
        <v>0</v>
      </c>
      <c r="N361" s="71"/>
      <c r="O361" s="71"/>
      <c r="P361" s="75">
        <f t="shared" si="205"/>
        <v>0</v>
      </c>
      <c r="Q361" s="74">
        <f t="shared" si="206"/>
        <v>0</v>
      </c>
      <c r="R361" s="74">
        <f t="shared" si="207"/>
        <v>0</v>
      </c>
      <c r="S361" s="76">
        <f t="shared" si="208"/>
        <v>0</v>
      </c>
    </row>
    <row r="362" spans="1:19" s="39" customFormat="1" ht="12.75" hidden="1">
      <c r="A362" s="69">
        <v>5</v>
      </c>
      <c r="B362" s="70"/>
      <c r="C362" s="71" t="s">
        <v>52</v>
      </c>
      <c r="D362" s="72" t="str">
        <f t="shared" si="202"/>
        <v>услуга 21</v>
      </c>
      <c r="E362" s="71"/>
      <c r="F362" s="71">
        <f t="shared" si="200"/>
        <v>0</v>
      </c>
      <c r="G362" s="71">
        <v>7570</v>
      </c>
      <c r="H362" s="73">
        <f t="shared" si="209"/>
        <v>0</v>
      </c>
      <c r="I362" s="73"/>
      <c r="J362" s="71"/>
      <c r="K362" s="74">
        <f t="shared" si="203"/>
        <v>0</v>
      </c>
      <c r="L362" s="71">
        <f t="shared" si="201"/>
        <v>1800</v>
      </c>
      <c r="M362" s="71">
        <f t="shared" si="204"/>
        <v>0</v>
      </c>
      <c r="N362" s="71"/>
      <c r="O362" s="71"/>
      <c r="P362" s="75">
        <f t="shared" si="205"/>
        <v>0</v>
      </c>
      <c r="Q362" s="74">
        <f t="shared" si="206"/>
        <v>0</v>
      </c>
      <c r="R362" s="74">
        <f t="shared" si="207"/>
        <v>0</v>
      </c>
      <c r="S362" s="76">
        <f t="shared" si="208"/>
        <v>0</v>
      </c>
    </row>
    <row r="363" spans="1:19" s="39" customFormat="1" ht="12.75" hidden="1">
      <c r="A363" s="69">
        <v>6</v>
      </c>
      <c r="B363" s="70"/>
      <c r="C363" s="71" t="s">
        <v>52</v>
      </c>
      <c r="D363" s="72" t="str">
        <f t="shared" si="202"/>
        <v>услуга 21</v>
      </c>
      <c r="E363" s="71"/>
      <c r="F363" s="71">
        <f t="shared" si="200"/>
        <v>0</v>
      </c>
      <c r="G363" s="71">
        <v>7570</v>
      </c>
      <c r="H363" s="73">
        <f t="shared" si="209"/>
        <v>0</v>
      </c>
      <c r="I363" s="73"/>
      <c r="J363" s="71"/>
      <c r="K363" s="74">
        <f t="shared" si="203"/>
        <v>0</v>
      </c>
      <c r="L363" s="71">
        <f t="shared" si="201"/>
        <v>1800</v>
      </c>
      <c r="M363" s="71">
        <f t="shared" si="204"/>
        <v>0</v>
      </c>
      <c r="N363" s="71"/>
      <c r="O363" s="71"/>
      <c r="P363" s="75">
        <f t="shared" si="205"/>
        <v>0</v>
      </c>
      <c r="Q363" s="74">
        <f t="shared" si="206"/>
        <v>0</v>
      </c>
      <c r="R363" s="74">
        <f t="shared" si="207"/>
        <v>0</v>
      </c>
      <c r="S363" s="76">
        <f t="shared" si="208"/>
        <v>0</v>
      </c>
    </row>
    <row r="364" spans="1:19" s="39" customFormat="1" ht="12.75" hidden="1">
      <c r="A364" s="69">
        <v>7</v>
      </c>
      <c r="B364" s="70"/>
      <c r="C364" s="71" t="s">
        <v>52</v>
      </c>
      <c r="D364" s="72" t="str">
        <f t="shared" si="202"/>
        <v>услуга 21</v>
      </c>
      <c r="E364" s="71"/>
      <c r="F364" s="71">
        <f t="shared" si="200"/>
        <v>0</v>
      </c>
      <c r="G364" s="71">
        <v>7570</v>
      </c>
      <c r="H364" s="73">
        <f t="shared" si="209"/>
        <v>0</v>
      </c>
      <c r="I364" s="73"/>
      <c r="J364" s="71"/>
      <c r="K364" s="74">
        <f t="shared" si="203"/>
        <v>0</v>
      </c>
      <c r="L364" s="71">
        <f t="shared" si="201"/>
        <v>1800</v>
      </c>
      <c r="M364" s="71">
        <f t="shared" si="204"/>
        <v>0</v>
      </c>
      <c r="N364" s="71"/>
      <c r="O364" s="71"/>
      <c r="P364" s="75">
        <f t="shared" si="205"/>
        <v>0</v>
      </c>
      <c r="Q364" s="74">
        <f t="shared" si="206"/>
        <v>0</v>
      </c>
      <c r="R364" s="74">
        <f t="shared" si="207"/>
        <v>0</v>
      </c>
      <c r="S364" s="76">
        <f t="shared" si="208"/>
        <v>0</v>
      </c>
    </row>
    <row r="365" spans="1:19" s="39" customFormat="1" ht="12.75" hidden="1">
      <c r="A365" s="69">
        <v>8</v>
      </c>
      <c r="B365" s="70"/>
      <c r="C365" s="71" t="s">
        <v>52</v>
      </c>
      <c r="D365" s="72" t="str">
        <f t="shared" si="202"/>
        <v>услуга 21</v>
      </c>
      <c r="E365" s="71"/>
      <c r="F365" s="71">
        <f t="shared" si="200"/>
        <v>0</v>
      </c>
      <c r="G365" s="71">
        <v>7570</v>
      </c>
      <c r="H365" s="73">
        <f t="shared" si="209"/>
        <v>0</v>
      </c>
      <c r="I365" s="73"/>
      <c r="J365" s="71"/>
      <c r="K365" s="74">
        <f t="shared" si="203"/>
        <v>0</v>
      </c>
      <c r="L365" s="71">
        <f t="shared" si="201"/>
        <v>1800</v>
      </c>
      <c r="M365" s="71">
        <f t="shared" si="204"/>
        <v>0</v>
      </c>
      <c r="N365" s="71"/>
      <c r="O365" s="71"/>
      <c r="P365" s="75">
        <f t="shared" si="205"/>
        <v>0</v>
      </c>
      <c r="Q365" s="74">
        <f t="shared" si="206"/>
        <v>0</v>
      </c>
      <c r="R365" s="74">
        <f t="shared" si="207"/>
        <v>0</v>
      </c>
      <c r="S365" s="76">
        <f t="shared" si="208"/>
        <v>0</v>
      </c>
    </row>
    <row r="366" spans="1:19" s="39" customFormat="1" ht="12.75" hidden="1">
      <c r="A366" s="69">
        <v>9</v>
      </c>
      <c r="B366" s="70"/>
      <c r="C366" s="71" t="s">
        <v>52</v>
      </c>
      <c r="D366" s="72" t="str">
        <f t="shared" si="202"/>
        <v>услуга 21</v>
      </c>
      <c r="E366" s="71"/>
      <c r="F366" s="71">
        <f t="shared" si="200"/>
        <v>0</v>
      </c>
      <c r="G366" s="71">
        <v>7570</v>
      </c>
      <c r="H366" s="73">
        <f t="shared" si="209"/>
        <v>0</v>
      </c>
      <c r="I366" s="73"/>
      <c r="J366" s="71"/>
      <c r="K366" s="74">
        <f t="shared" si="203"/>
        <v>0</v>
      </c>
      <c r="L366" s="71">
        <f t="shared" si="201"/>
        <v>1800</v>
      </c>
      <c r="M366" s="71">
        <f t="shared" si="204"/>
        <v>0</v>
      </c>
      <c r="N366" s="71"/>
      <c r="O366" s="71"/>
      <c r="P366" s="75">
        <f t="shared" si="205"/>
        <v>0</v>
      </c>
      <c r="Q366" s="74">
        <f t="shared" si="206"/>
        <v>0</v>
      </c>
      <c r="R366" s="74">
        <f t="shared" si="207"/>
        <v>0</v>
      </c>
      <c r="S366" s="76">
        <f t="shared" si="208"/>
        <v>0</v>
      </c>
    </row>
    <row r="367" spans="1:19" s="39" customFormat="1" ht="12.75" hidden="1">
      <c r="A367" s="69">
        <v>10</v>
      </c>
      <c r="B367" s="70"/>
      <c r="C367" s="71" t="s">
        <v>52</v>
      </c>
      <c r="D367" s="72" t="str">
        <f t="shared" si="202"/>
        <v>услуга 21</v>
      </c>
      <c r="E367" s="71"/>
      <c r="F367" s="71">
        <f t="shared" si="200"/>
        <v>0</v>
      </c>
      <c r="G367" s="71">
        <v>7570</v>
      </c>
      <c r="H367" s="73">
        <f t="shared" si="209"/>
        <v>0</v>
      </c>
      <c r="I367" s="73"/>
      <c r="J367" s="71"/>
      <c r="K367" s="74">
        <f t="shared" si="203"/>
        <v>0</v>
      </c>
      <c r="L367" s="71">
        <f t="shared" si="201"/>
        <v>1800</v>
      </c>
      <c r="M367" s="71">
        <f t="shared" si="204"/>
        <v>0</v>
      </c>
      <c r="N367" s="71"/>
      <c r="O367" s="71"/>
      <c r="P367" s="75">
        <f t="shared" si="205"/>
        <v>0</v>
      </c>
      <c r="Q367" s="74">
        <f t="shared" si="206"/>
        <v>0</v>
      </c>
      <c r="R367" s="74">
        <f t="shared" si="207"/>
        <v>0</v>
      </c>
      <c r="S367" s="76">
        <f t="shared" si="208"/>
        <v>0</v>
      </c>
    </row>
    <row r="368" spans="1:19" s="39" customFormat="1" ht="13.5" hidden="1" thickBot="1">
      <c r="A368" s="113"/>
      <c r="B368" s="114"/>
      <c r="C368" s="114"/>
      <c r="D368" s="114" t="s">
        <v>53</v>
      </c>
      <c r="E368" s="114"/>
      <c r="F368" s="115">
        <f>SUM(F358:F367)</f>
        <v>0</v>
      </c>
      <c r="G368" s="114"/>
      <c r="H368" s="114"/>
      <c r="I368" s="114"/>
      <c r="J368" s="114"/>
      <c r="K368" s="116"/>
      <c r="L368" s="114"/>
      <c r="M368" s="117">
        <f>SUM(M358:M367)</f>
        <v>0</v>
      </c>
      <c r="N368" s="117">
        <f>SUM(N358:N367)</f>
        <v>0</v>
      </c>
      <c r="O368" s="117">
        <f>SUM(O358:O367)</f>
        <v>0</v>
      </c>
      <c r="P368" s="114"/>
      <c r="Q368" s="115">
        <f>SUM(Q358:Q367)</f>
        <v>0</v>
      </c>
      <c r="R368" s="115">
        <f>SUM(R358:R367)</f>
        <v>0</v>
      </c>
      <c r="S368" s="143">
        <f>SUM(S358:S367)</f>
        <v>0</v>
      </c>
    </row>
    <row r="369" spans="1:19" s="39" customFormat="1" ht="12.75" hidden="1">
      <c r="A369" s="118"/>
      <c r="B369" s="92"/>
      <c r="C369" s="92"/>
      <c r="D369" s="92"/>
      <c r="E369" s="92"/>
      <c r="F369" s="93"/>
      <c r="G369" s="92"/>
      <c r="H369" s="92"/>
      <c r="I369" s="92"/>
      <c r="J369" s="92"/>
      <c r="K369" s="94"/>
      <c r="L369" s="92"/>
      <c r="M369" s="95"/>
      <c r="N369" s="95">
        <f>доходы!C32</f>
        <v>0</v>
      </c>
      <c r="O369" s="96" t="s">
        <v>116</v>
      </c>
      <c r="P369" s="119"/>
      <c r="Q369" s="120"/>
      <c r="R369" s="121"/>
      <c r="S369" s="136"/>
    </row>
    <row r="370" spans="1:19" s="39" customFormat="1" ht="12.75" hidden="1">
      <c r="A370" s="137" t="s">
        <v>136</v>
      </c>
      <c r="B370" s="138" t="str">
        <f>доходы!B33</f>
        <v>услуга 22</v>
      </c>
      <c r="C370" s="92"/>
      <c r="D370" s="92"/>
      <c r="E370" s="92"/>
      <c r="F370" s="139"/>
      <c r="G370" s="139"/>
      <c r="H370" s="139"/>
      <c r="I370" s="139"/>
      <c r="J370" s="139"/>
      <c r="K370" s="140"/>
      <c r="L370" s="139"/>
      <c r="M370" s="139"/>
      <c r="N370" s="139"/>
      <c r="O370" s="139"/>
      <c r="P370" s="139"/>
      <c r="Q370" s="139"/>
      <c r="R370" s="139"/>
      <c r="S370" s="141"/>
    </row>
    <row r="371" spans="1:19" s="39" customFormat="1" ht="13.5" hidden="1" thickBot="1">
      <c r="A371" s="142"/>
      <c r="B371" s="139"/>
      <c r="C371" s="139"/>
      <c r="D371" s="139"/>
      <c r="E371" s="139"/>
      <c r="F371" s="139"/>
      <c r="G371" s="139"/>
      <c r="H371" s="139"/>
      <c r="I371" s="139"/>
      <c r="J371" s="139"/>
      <c r="K371" s="140"/>
      <c r="L371" s="139"/>
      <c r="M371" s="139"/>
      <c r="N371" s="139"/>
      <c r="O371" s="139"/>
      <c r="P371" s="139"/>
      <c r="Q371" s="139"/>
      <c r="R371" s="139"/>
      <c r="S371" s="141"/>
    </row>
    <row r="372" spans="1:19" s="39" customFormat="1" ht="51.75" hidden="1" thickBot="1">
      <c r="A372" s="99" t="s">
        <v>1</v>
      </c>
      <c r="B372" s="99" t="s">
        <v>2</v>
      </c>
      <c r="C372" s="99" t="s">
        <v>8</v>
      </c>
      <c r="D372" s="99" t="s">
        <v>3</v>
      </c>
      <c r="E372" s="99" t="s">
        <v>4</v>
      </c>
      <c r="F372" s="99" t="s">
        <v>5</v>
      </c>
      <c r="G372" s="99" t="s">
        <v>64</v>
      </c>
      <c r="H372" s="99" t="s">
        <v>117</v>
      </c>
      <c r="I372" s="99" t="s">
        <v>99</v>
      </c>
      <c r="J372" s="99" t="s">
        <v>65</v>
      </c>
      <c r="K372" s="100" t="s">
        <v>66</v>
      </c>
      <c r="L372" s="99" t="s">
        <v>67</v>
      </c>
      <c r="M372" s="99" t="s">
        <v>6</v>
      </c>
      <c r="N372" s="99" t="s">
        <v>54</v>
      </c>
      <c r="O372" s="99" t="s">
        <v>7</v>
      </c>
      <c r="P372" s="99" t="s">
        <v>48</v>
      </c>
      <c r="Q372" s="99" t="s">
        <v>49</v>
      </c>
      <c r="R372" s="99" t="s">
        <v>50</v>
      </c>
      <c r="S372" s="99" t="s">
        <v>51</v>
      </c>
    </row>
    <row r="373" spans="1:19" s="39" customFormat="1" ht="12.75" hidden="1">
      <c r="A373" s="101">
        <v>1</v>
      </c>
      <c r="B373" s="102">
        <v>2</v>
      </c>
      <c r="C373" s="102">
        <v>3</v>
      </c>
      <c r="D373" s="102">
        <v>4</v>
      </c>
      <c r="E373" s="102">
        <v>5</v>
      </c>
      <c r="F373" s="102">
        <v>6</v>
      </c>
      <c r="G373" s="102">
        <v>7</v>
      </c>
      <c r="H373" s="102">
        <v>8</v>
      </c>
      <c r="I373" s="102">
        <v>9</v>
      </c>
      <c r="J373" s="102">
        <v>10</v>
      </c>
      <c r="K373" s="104">
        <v>11</v>
      </c>
      <c r="L373" s="102">
        <v>12</v>
      </c>
      <c r="M373" s="102">
        <v>13</v>
      </c>
      <c r="N373" s="102">
        <v>14</v>
      </c>
      <c r="O373" s="102">
        <v>15</v>
      </c>
      <c r="P373" s="102">
        <v>16</v>
      </c>
      <c r="Q373" s="102">
        <v>17</v>
      </c>
      <c r="R373" s="102">
        <v>18</v>
      </c>
      <c r="S373" s="105">
        <v>19</v>
      </c>
    </row>
    <row r="374" spans="1:19" s="39" customFormat="1" ht="12.75" hidden="1">
      <c r="A374" s="69">
        <v>1</v>
      </c>
      <c r="B374" s="70" t="s">
        <v>118</v>
      </c>
      <c r="C374" s="71" t="s">
        <v>52</v>
      </c>
      <c r="D374" s="72" t="str">
        <f>B$370</f>
        <v>услуга 22</v>
      </c>
      <c r="E374" s="71"/>
      <c r="F374" s="71">
        <f aca="true" t="shared" si="210" ref="F374:F383">ROUND(O374/18/4,2)</f>
        <v>0</v>
      </c>
      <c r="G374" s="71">
        <v>7570</v>
      </c>
      <c r="H374" s="73">
        <v>0.15</v>
      </c>
      <c r="I374" s="73">
        <v>0</v>
      </c>
      <c r="J374" s="71"/>
      <c r="K374" s="74">
        <f>(G374+G374*(H374+I374))*J374</f>
        <v>0</v>
      </c>
      <c r="L374" s="71">
        <f aca="true" t="shared" si="211" ref="L374:L383">18*25*4</f>
        <v>1800</v>
      </c>
      <c r="M374" s="71">
        <f>N374*O374</f>
        <v>0</v>
      </c>
      <c r="N374" s="71"/>
      <c r="O374" s="71"/>
      <c r="P374" s="75">
        <f>ROUND(K374/L374,2)</f>
        <v>0</v>
      </c>
      <c r="Q374" s="74">
        <f>N374*O374*P374</f>
        <v>0</v>
      </c>
      <c r="R374" s="74">
        <f>Q374*0.15</f>
        <v>0</v>
      </c>
      <c r="S374" s="76">
        <f>Q374+R374</f>
        <v>0</v>
      </c>
    </row>
    <row r="375" spans="1:19" s="39" customFormat="1" ht="12.75" hidden="1">
      <c r="A375" s="69">
        <v>2</v>
      </c>
      <c r="B375" s="70"/>
      <c r="C375" s="71" t="s">
        <v>52</v>
      </c>
      <c r="D375" s="72" t="str">
        <f aca="true" t="shared" si="212" ref="D375:D383">B$370</f>
        <v>услуга 22</v>
      </c>
      <c r="E375" s="71"/>
      <c r="F375" s="71">
        <f t="shared" si="210"/>
        <v>0</v>
      </c>
      <c r="G375" s="71">
        <v>7570</v>
      </c>
      <c r="H375" s="73">
        <f>H$24</f>
        <v>0</v>
      </c>
      <c r="I375" s="73">
        <v>0</v>
      </c>
      <c r="J375" s="71"/>
      <c r="K375" s="74">
        <f aca="true" t="shared" si="213" ref="K375:K383">(G375+G375*(H375+I375))*J375</f>
        <v>0</v>
      </c>
      <c r="L375" s="71">
        <f t="shared" si="211"/>
        <v>1800</v>
      </c>
      <c r="M375" s="71">
        <f aca="true" t="shared" si="214" ref="M375:M383">N375*O375</f>
        <v>0</v>
      </c>
      <c r="N375" s="71"/>
      <c r="O375" s="71"/>
      <c r="P375" s="75">
        <f aca="true" t="shared" si="215" ref="P375:P383">ROUND(K375/L375,2)</f>
        <v>0</v>
      </c>
      <c r="Q375" s="74">
        <f aca="true" t="shared" si="216" ref="Q375:Q383">N375*O375*P375</f>
        <v>0</v>
      </c>
      <c r="R375" s="74">
        <f aca="true" t="shared" si="217" ref="R375:R383">Q375*0.15</f>
        <v>0</v>
      </c>
      <c r="S375" s="76">
        <f aca="true" t="shared" si="218" ref="S375:S383">Q375+R375</f>
        <v>0</v>
      </c>
    </row>
    <row r="376" spans="1:19" s="39" customFormat="1" ht="12.75" hidden="1">
      <c r="A376" s="69">
        <v>3</v>
      </c>
      <c r="B376" s="70"/>
      <c r="C376" s="71" t="s">
        <v>52</v>
      </c>
      <c r="D376" s="72" t="str">
        <f t="shared" si="212"/>
        <v>услуга 22</v>
      </c>
      <c r="E376" s="71"/>
      <c r="F376" s="71">
        <f t="shared" si="210"/>
        <v>0</v>
      </c>
      <c r="G376" s="71">
        <v>7570</v>
      </c>
      <c r="H376" s="73">
        <f aca="true" t="shared" si="219" ref="H376:H383">H$24</f>
        <v>0</v>
      </c>
      <c r="I376" s="73"/>
      <c r="J376" s="71"/>
      <c r="K376" s="74">
        <f t="shared" si="213"/>
        <v>0</v>
      </c>
      <c r="L376" s="71">
        <f t="shared" si="211"/>
        <v>1800</v>
      </c>
      <c r="M376" s="71">
        <f t="shared" si="214"/>
        <v>0</v>
      </c>
      <c r="N376" s="71"/>
      <c r="O376" s="71"/>
      <c r="P376" s="75">
        <f t="shared" si="215"/>
        <v>0</v>
      </c>
      <c r="Q376" s="74">
        <f t="shared" si="216"/>
        <v>0</v>
      </c>
      <c r="R376" s="74">
        <f t="shared" si="217"/>
        <v>0</v>
      </c>
      <c r="S376" s="76">
        <f t="shared" si="218"/>
        <v>0</v>
      </c>
    </row>
    <row r="377" spans="1:19" s="39" customFormat="1" ht="12.75" hidden="1">
      <c r="A377" s="69">
        <v>4</v>
      </c>
      <c r="B377" s="70"/>
      <c r="C377" s="71" t="s">
        <v>52</v>
      </c>
      <c r="D377" s="72" t="str">
        <f t="shared" si="212"/>
        <v>услуга 22</v>
      </c>
      <c r="E377" s="71"/>
      <c r="F377" s="71">
        <f t="shared" si="210"/>
        <v>0</v>
      </c>
      <c r="G377" s="71">
        <v>7570</v>
      </c>
      <c r="H377" s="73">
        <f t="shared" si="219"/>
        <v>0</v>
      </c>
      <c r="I377" s="73"/>
      <c r="J377" s="71"/>
      <c r="K377" s="74">
        <f t="shared" si="213"/>
        <v>0</v>
      </c>
      <c r="L377" s="71">
        <f t="shared" si="211"/>
        <v>1800</v>
      </c>
      <c r="M377" s="71">
        <f t="shared" si="214"/>
        <v>0</v>
      </c>
      <c r="N377" s="71"/>
      <c r="O377" s="71"/>
      <c r="P377" s="75">
        <f t="shared" si="215"/>
        <v>0</v>
      </c>
      <c r="Q377" s="74">
        <f t="shared" si="216"/>
        <v>0</v>
      </c>
      <c r="R377" s="74">
        <f t="shared" si="217"/>
        <v>0</v>
      </c>
      <c r="S377" s="76">
        <f t="shared" si="218"/>
        <v>0</v>
      </c>
    </row>
    <row r="378" spans="1:19" s="39" customFormat="1" ht="12.75" hidden="1">
      <c r="A378" s="69">
        <v>5</v>
      </c>
      <c r="B378" s="70"/>
      <c r="C378" s="71" t="s">
        <v>52</v>
      </c>
      <c r="D378" s="72" t="str">
        <f t="shared" si="212"/>
        <v>услуга 22</v>
      </c>
      <c r="E378" s="71"/>
      <c r="F378" s="71">
        <f t="shared" si="210"/>
        <v>0</v>
      </c>
      <c r="G378" s="71">
        <v>7570</v>
      </c>
      <c r="H378" s="73">
        <f t="shared" si="219"/>
        <v>0</v>
      </c>
      <c r="I378" s="73"/>
      <c r="J378" s="71"/>
      <c r="K378" s="74">
        <f t="shared" si="213"/>
        <v>0</v>
      </c>
      <c r="L378" s="71">
        <f t="shared" si="211"/>
        <v>1800</v>
      </c>
      <c r="M378" s="71">
        <f t="shared" si="214"/>
        <v>0</v>
      </c>
      <c r="N378" s="71"/>
      <c r="O378" s="71"/>
      <c r="P378" s="75">
        <f t="shared" si="215"/>
        <v>0</v>
      </c>
      <c r="Q378" s="74">
        <f t="shared" si="216"/>
        <v>0</v>
      </c>
      <c r="R378" s="74">
        <f t="shared" si="217"/>
        <v>0</v>
      </c>
      <c r="S378" s="76">
        <f t="shared" si="218"/>
        <v>0</v>
      </c>
    </row>
    <row r="379" spans="1:19" s="39" customFormat="1" ht="12.75" hidden="1">
      <c r="A379" s="69">
        <v>6</v>
      </c>
      <c r="B379" s="70"/>
      <c r="C379" s="71" t="s">
        <v>52</v>
      </c>
      <c r="D379" s="72" t="str">
        <f t="shared" si="212"/>
        <v>услуга 22</v>
      </c>
      <c r="E379" s="71"/>
      <c r="F379" s="71">
        <f t="shared" si="210"/>
        <v>0</v>
      </c>
      <c r="G379" s="71">
        <v>7570</v>
      </c>
      <c r="H379" s="73">
        <f t="shared" si="219"/>
        <v>0</v>
      </c>
      <c r="I379" s="73"/>
      <c r="J379" s="71"/>
      <c r="K379" s="74">
        <f t="shared" si="213"/>
        <v>0</v>
      </c>
      <c r="L379" s="71">
        <f t="shared" si="211"/>
        <v>1800</v>
      </c>
      <c r="M379" s="71">
        <f t="shared" si="214"/>
        <v>0</v>
      </c>
      <c r="N379" s="71"/>
      <c r="O379" s="71"/>
      <c r="P379" s="75">
        <f t="shared" si="215"/>
        <v>0</v>
      </c>
      <c r="Q379" s="74">
        <f t="shared" si="216"/>
        <v>0</v>
      </c>
      <c r="R379" s="74">
        <f t="shared" si="217"/>
        <v>0</v>
      </c>
      <c r="S379" s="76">
        <f t="shared" si="218"/>
        <v>0</v>
      </c>
    </row>
    <row r="380" spans="1:19" s="39" customFormat="1" ht="12.75" hidden="1">
      <c r="A380" s="69">
        <v>7</v>
      </c>
      <c r="B380" s="70"/>
      <c r="C380" s="71" t="s">
        <v>52</v>
      </c>
      <c r="D380" s="72" t="str">
        <f t="shared" si="212"/>
        <v>услуга 22</v>
      </c>
      <c r="E380" s="71"/>
      <c r="F380" s="71">
        <f t="shared" si="210"/>
        <v>0</v>
      </c>
      <c r="G380" s="71">
        <v>7570</v>
      </c>
      <c r="H380" s="73">
        <f t="shared" si="219"/>
        <v>0</v>
      </c>
      <c r="I380" s="73"/>
      <c r="J380" s="71"/>
      <c r="K380" s="74">
        <f t="shared" si="213"/>
        <v>0</v>
      </c>
      <c r="L380" s="71">
        <f t="shared" si="211"/>
        <v>1800</v>
      </c>
      <c r="M380" s="71">
        <f t="shared" si="214"/>
        <v>0</v>
      </c>
      <c r="N380" s="71"/>
      <c r="O380" s="71"/>
      <c r="P380" s="75">
        <f t="shared" si="215"/>
        <v>0</v>
      </c>
      <c r="Q380" s="74">
        <f t="shared" si="216"/>
        <v>0</v>
      </c>
      <c r="R380" s="74">
        <f t="shared" si="217"/>
        <v>0</v>
      </c>
      <c r="S380" s="76">
        <f t="shared" si="218"/>
        <v>0</v>
      </c>
    </row>
    <row r="381" spans="1:19" s="39" customFormat="1" ht="12.75" hidden="1">
      <c r="A381" s="69">
        <v>8</v>
      </c>
      <c r="B381" s="70"/>
      <c r="C381" s="71" t="s">
        <v>52</v>
      </c>
      <c r="D381" s="72" t="str">
        <f t="shared" si="212"/>
        <v>услуга 22</v>
      </c>
      <c r="E381" s="71"/>
      <c r="F381" s="71">
        <f t="shared" si="210"/>
        <v>0</v>
      </c>
      <c r="G381" s="71">
        <v>7570</v>
      </c>
      <c r="H381" s="73">
        <f t="shared" si="219"/>
        <v>0</v>
      </c>
      <c r="I381" s="73"/>
      <c r="J381" s="71"/>
      <c r="K381" s="74">
        <f t="shared" si="213"/>
        <v>0</v>
      </c>
      <c r="L381" s="71">
        <f t="shared" si="211"/>
        <v>1800</v>
      </c>
      <c r="M381" s="71">
        <f t="shared" si="214"/>
        <v>0</v>
      </c>
      <c r="N381" s="71"/>
      <c r="O381" s="71"/>
      <c r="P381" s="75">
        <f t="shared" si="215"/>
        <v>0</v>
      </c>
      <c r="Q381" s="74">
        <f t="shared" si="216"/>
        <v>0</v>
      </c>
      <c r="R381" s="74">
        <f t="shared" si="217"/>
        <v>0</v>
      </c>
      <c r="S381" s="76">
        <f t="shared" si="218"/>
        <v>0</v>
      </c>
    </row>
    <row r="382" spans="1:19" s="39" customFormat="1" ht="12.75" hidden="1">
      <c r="A382" s="69">
        <v>9</v>
      </c>
      <c r="B382" s="70"/>
      <c r="C382" s="71" t="s">
        <v>52</v>
      </c>
      <c r="D382" s="72" t="str">
        <f t="shared" si="212"/>
        <v>услуга 22</v>
      </c>
      <c r="E382" s="71"/>
      <c r="F382" s="71">
        <f t="shared" si="210"/>
        <v>0</v>
      </c>
      <c r="G382" s="71">
        <v>7570</v>
      </c>
      <c r="H382" s="73">
        <f t="shared" si="219"/>
        <v>0</v>
      </c>
      <c r="I382" s="73"/>
      <c r="J382" s="71"/>
      <c r="K382" s="74">
        <f t="shared" si="213"/>
        <v>0</v>
      </c>
      <c r="L382" s="71">
        <f t="shared" si="211"/>
        <v>1800</v>
      </c>
      <c r="M382" s="71">
        <f t="shared" si="214"/>
        <v>0</v>
      </c>
      <c r="N382" s="71"/>
      <c r="O382" s="71"/>
      <c r="P382" s="75">
        <f t="shared" si="215"/>
        <v>0</v>
      </c>
      <c r="Q382" s="74">
        <f t="shared" si="216"/>
        <v>0</v>
      </c>
      <c r="R382" s="74">
        <f t="shared" si="217"/>
        <v>0</v>
      </c>
      <c r="S382" s="76">
        <f t="shared" si="218"/>
        <v>0</v>
      </c>
    </row>
    <row r="383" spans="1:19" s="39" customFormat="1" ht="12.75" hidden="1">
      <c r="A383" s="69">
        <v>10</v>
      </c>
      <c r="B383" s="70"/>
      <c r="C383" s="71" t="s">
        <v>52</v>
      </c>
      <c r="D383" s="72" t="str">
        <f t="shared" si="212"/>
        <v>услуга 22</v>
      </c>
      <c r="E383" s="71"/>
      <c r="F383" s="71">
        <f t="shared" si="210"/>
        <v>0</v>
      </c>
      <c r="G383" s="71">
        <v>7570</v>
      </c>
      <c r="H383" s="73">
        <f t="shared" si="219"/>
        <v>0</v>
      </c>
      <c r="I383" s="73"/>
      <c r="J383" s="71"/>
      <c r="K383" s="74">
        <f t="shared" si="213"/>
        <v>0</v>
      </c>
      <c r="L383" s="71">
        <f t="shared" si="211"/>
        <v>1800</v>
      </c>
      <c r="M383" s="71">
        <f t="shared" si="214"/>
        <v>0</v>
      </c>
      <c r="N383" s="71"/>
      <c r="O383" s="71"/>
      <c r="P383" s="75">
        <f t="shared" si="215"/>
        <v>0</v>
      </c>
      <c r="Q383" s="74">
        <f t="shared" si="216"/>
        <v>0</v>
      </c>
      <c r="R383" s="74">
        <f t="shared" si="217"/>
        <v>0</v>
      </c>
      <c r="S383" s="76">
        <f t="shared" si="218"/>
        <v>0</v>
      </c>
    </row>
    <row r="384" spans="1:19" s="39" customFormat="1" ht="13.5" hidden="1" thickBot="1">
      <c r="A384" s="113"/>
      <c r="B384" s="114"/>
      <c r="C384" s="114"/>
      <c r="D384" s="114" t="s">
        <v>53</v>
      </c>
      <c r="E384" s="114"/>
      <c r="F384" s="115">
        <f>SUM(F374:F383)</f>
        <v>0</v>
      </c>
      <c r="G384" s="114"/>
      <c r="H384" s="114"/>
      <c r="I384" s="114"/>
      <c r="J384" s="114"/>
      <c r="K384" s="116"/>
      <c r="L384" s="114"/>
      <c r="M384" s="117">
        <f>SUM(M374:M383)</f>
        <v>0</v>
      </c>
      <c r="N384" s="117">
        <f>SUM(N374:N383)</f>
        <v>0</v>
      </c>
      <c r="O384" s="117">
        <f>SUM(O374:O383)</f>
        <v>0</v>
      </c>
      <c r="P384" s="114"/>
      <c r="Q384" s="115">
        <f>SUM(Q374:Q383)</f>
        <v>0</v>
      </c>
      <c r="R384" s="115">
        <f>SUM(R374:R383)</f>
        <v>0</v>
      </c>
      <c r="S384" s="143">
        <f>SUM(S374:S383)</f>
        <v>0</v>
      </c>
    </row>
    <row r="385" spans="1:19" s="39" customFormat="1" ht="12.75" hidden="1">
      <c r="A385" s="118"/>
      <c r="B385" s="92"/>
      <c r="C385" s="92"/>
      <c r="D385" s="92"/>
      <c r="E385" s="92"/>
      <c r="F385" s="93"/>
      <c r="G385" s="92"/>
      <c r="H385" s="92"/>
      <c r="I385" s="92"/>
      <c r="J385" s="92"/>
      <c r="K385" s="94"/>
      <c r="L385" s="92"/>
      <c r="M385" s="95"/>
      <c r="N385" s="95">
        <f>доходы!C33</f>
        <v>0</v>
      </c>
      <c r="O385" s="96" t="s">
        <v>116</v>
      </c>
      <c r="P385" s="119"/>
      <c r="Q385" s="120"/>
      <c r="R385" s="121"/>
      <c r="S385" s="136"/>
    </row>
    <row r="386" spans="1:19" s="39" customFormat="1" ht="12.75" hidden="1">
      <c r="A386" s="137" t="s">
        <v>137</v>
      </c>
      <c r="B386" s="138" t="str">
        <f>доходы!B34</f>
        <v>услуга 23</v>
      </c>
      <c r="C386" s="92"/>
      <c r="D386" s="92"/>
      <c r="E386" s="92"/>
      <c r="F386" s="139"/>
      <c r="G386" s="139"/>
      <c r="H386" s="139"/>
      <c r="I386" s="139"/>
      <c r="J386" s="139"/>
      <c r="K386" s="140"/>
      <c r="L386" s="139"/>
      <c r="M386" s="139"/>
      <c r="N386" s="139"/>
      <c r="O386" s="139"/>
      <c r="P386" s="139"/>
      <c r="Q386" s="139"/>
      <c r="R386" s="139"/>
      <c r="S386" s="141"/>
    </row>
    <row r="387" spans="1:19" s="39" customFormat="1" ht="13.5" hidden="1" thickBot="1">
      <c r="A387" s="142"/>
      <c r="B387" s="139"/>
      <c r="C387" s="139"/>
      <c r="D387" s="139"/>
      <c r="E387" s="139"/>
      <c r="F387" s="139"/>
      <c r="G387" s="139"/>
      <c r="H387" s="139"/>
      <c r="I387" s="139"/>
      <c r="J387" s="139"/>
      <c r="K387" s="140"/>
      <c r="L387" s="139"/>
      <c r="M387" s="139"/>
      <c r="N387" s="139"/>
      <c r="O387" s="139"/>
      <c r="P387" s="139"/>
      <c r="Q387" s="139"/>
      <c r="R387" s="139"/>
      <c r="S387" s="141"/>
    </row>
    <row r="388" spans="1:19" s="39" customFormat="1" ht="51.75" hidden="1" thickBot="1">
      <c r="A388" s="99" t="s">
        <v>1</v>
      </c>
      <c r="B388" s="99" t="s">
        <v>2</v>
      </c>
      <c r="C388" s="99" t="s">
        <v>8</v>
      </c>
      <c r="D388" s="99" t="s">
        <v>3</v>
      </c>
      <c r="E388" s="99" t="s">
        <v>4</v>
      </c>
      <c r="F388" s="99" t="s">
        <v>5</v>
      </c>
      <c r="G388" s="99" t="s">
        <v>64</v>
      </c>
      <c r="H388" s="99" t="s">
        <v>117</v>
      </c>
      <c r="I388" s="99" t="s">
        <v>99</v>
      </c>
      <c r="J388" s="99" t="s">
        <v>65</v>
      </c>
      <c r="K388" s="100" t="s">
        <v>66</v>
      </c>
      <c r="L388" s="99" t="s">
        <v>67</v>
      </c>
      <c r="M388" s="99" t="s">
        <v>6</v>
      </c>
      <c r="N388" s="99" t="s">
        <v>54</v>
      </c>
      <c r="O388" s="99" t="s">
        <v>7</v>
      </c>
      <c r="P388" s="99" t="s">
        <v>48</v>
      </c>
      <c r="Q388" s="99" t="s">
        <v>49</v>
      </c>
      <c r="R388" s="99" t="s">
        <v>50</v>
      </c>
      <c r="S388" s="99" t="s">
        <v>51</v>
      </c>
    </row>
    <row r="389" spans="1:19" s="39" customFormat="1" ht="12.75" hidden="1">
      <c r="A389" s="101">
        <v>1</v>
      </c>
      <c r="B389" s="102">
        <v>2</v>
      </c>
      <c r="C389" s="102">
        <v>3</v>
      </c>
      <c r="D389" s="102">
        <v>4</v>
      </c>
      <c r="E389" s="102">
        <v>5</v>
      </c>
      <c r="F389" s="102">
        <v>6</v>
      </c>
      <c r="G389" s="102">
        <v>7</v>
      </c>
      <c r="H389" s="102">
        <v>8</v>
      </c>
      <c r="I389" s="102">
        <v>9</v>
      </c>
      <c r="J389" s="102">
        <v>10</v>
      </c>
      <c r="K389" s="104">
        <v>11</v>
      </c>
      <c r="L389" s="102">
        <v>12</v>
      </c>
      <c r="M389" s="102">
        <v>13</v>
      </c>
      <c r="N389" s="102">
        <v>14</v>
      </c>
      <c r="O389" s="102">
        <v>15</v>
      </c>
      <c r="P389" s="102">
        <v>16</v>
      </c>
      <c r="Q389" s="102">
        <v>17</v>
      </c>
      <c r="R389" s="102">
        <v>18</v>
      </c>
      <c r="S389" s="105">
        <v>19</v>
      </c>
    </row>
    <row r="390" spans="1:19" s="39" customFormat="1" ht="12.75" hidden="1">
      <c r="A390" s="69">
        <v>1</v>
      </c>
      <c r="B390" s="70" t="s">
        <v>118</v>
      </c>
      <c r="C390" s="71" t="s">
        <v>52</v>
      </c>
      <c r="D390" s="72" t="str">
        <f>B$386</f>
        <v>услуга 23</v>
      </c>
      <c r="E390" s="71"/>
      <c r="F390" s="71">
        <f aca="true" t="shared" si="220" ref="F390:F399">ROUND(O390/18/4,2)</f>
        <v>0</v>
      </c>
      <c r="G390" s="71">
        <v>7570</v>
      </c>
      <c r="H390" s="73">
        <v>0.15</v>
      </c>
      <c r="I390" s="73">
        <v>0</v>
      </c>
      <c r="J390" s="71"/>
      <c r="K390" s="74">
        <f>(G390+G390*(H390+I390))*J390</f>
        <v>0</v>
      </c>
      <c r="L390" s="71">
        <f aca="true" t="shared" si="221" ref="L390:L399">18*25*4</f>
        <v>1800</v>
      </c>
      <c r="M390" s="71">
        <f>N390*O390</f>
        <v>0</v>
      </c>
      <c r="N390" s="71"/>
      <c r="O390" s="71"/>
      <c r="P390" s="75">
        <f>ROUND(K390/L390,2)</f>
        <v>0</v>
      </c>
      <c r="Q390" s="74">
        <f>N390*O390*P390</f>
        <v>0</v>
      </c>
      <c r="R390" s="74">
        <f>Q390*0.15</f>
        <v>0</v>
      </c>
      <c r="S390" s="76">
        <f>Q390+R390</f>
        <v>0</v>
      </c>
    </row>
    <row r="391" spans="1:19" s="39" customFormat="1" ht="12.75" hidden="1">
      <c r="A391" s="69">
        <v>2</v>
      </c>
      <c r="B391" s="70"/>
      <c r="C391" s="71" t="s">
        <v>52</v>
      </c>
      <c r="D391" s="72" t="str">
        <f aca="true" t="shared" si="222" ref="D391:D399">B$386</f>
        <v>услуга 23</v>
      </c>
      <c r="E391" s="71"/>
      <c r="F391" s="71">
        <f t="shared" si="220"/>
        <v>0</v>
      </c>
      <c r="G391" s="71">
        <v>7570</v>
      </c>
      <c r="H391" s="73">
        <f>H$24</f>
        <v>0</v>
      </c>
      <c r="I391" s="73">
        <v>0</v>
      </c>
      <c r="J391" s="71"/>
      <c r="K391" s="74">
        <f aca="true" t="shared" si="223" ref="K391:K399">(G391+G391*(H391+I391))*J391</f>
        <v>0</v>
      </c>
      <c r="L391" s="71">
        <f t="shared" si="221"/>
        <v>1800</v>
      </c>
      <c r="M391" s="71">
        <f aca="true" t="shared" si="224" ref="M391:M399">N391*O391</f>
        <v>0</v>
      </c>
      <c r="N391" s="71"/>
      <c r="O391" s="71"/>
      <c r="P391" s="75">
        <f aca="true" t="shared" si="225" ref="P391:P399">ROUND(K391/L391,2)</f>
        <v>0</v>
      </c>
      <c r="Q391" s="74">
        <f aca="true" t="shared" si="226" ref="Q391:Q399">N391*O391*P391</f>
        <v>0</v>
      </c>
      <c r="R391" s="74">
        <f aca="true" t="shared" si="227" ref="R391:R399">Q391*0.15</f>
        <v>0</v>
      </c>
      <c r="S391" s="76">
        <f aca="true" t="shared" si="228" ref="S391:S399">Q391+R391</f>
        <v>0</v>
      </c>
    </row>
    <row r="392" spans="1:19" s="39" customFormat="1" ht="12.75" hidden="1">
      <c r="A392" s="69">
        <v>3</v>
      </c>
      <c r="B392" s="70"/>
      <c r="C392" s="71" t="s">
        <v>52</v>
      </c>
      <c r="D392" s="72" t="str">
        <f t="shared" si="222"/>
        <v>услуга 23</v>
      </c>
      <c r="E392" s="71"/>
      <c r="F392" s="71">
        <f t="shared" si="220"/>
        <v>0</v>
      </c>
      <c r="G392" s="71">
        <v>7570</v>
      </c>
      <c r="H392" s="73">
        <f aca="true" t="shared" si="229" ref="H392:H399">H$24</f>
        <v>0</v>
      </c>
      <c r="I392" s="73"/>
      <c r="J392" s="71"/>
      <c r="K392" s="74">
        <f t="shared" si="223"/>
        <v>0</v>
      </c>
      <c r="L392" s="71">
        <f t="shared" si="221"/>
        <v>1800</v>
      </c>
      <c r="M392" s="71">
        <f t="shared" si="224"/>
        <v>0</v>
      </c>
      <c r="N392" s="71"/>
      <c r="O392" s="71"/>
      <c r="P392" s="75">
        <f t="shared" si="225"/>
        <v>0</v>
      </c>
      <c r="Q392" s="74">
        <f t="shared" si="226"/>
        <v>0</v>
      </c>
      <c r="R392" s="74">
        <f t="shared" si="227"/>
        <v>0</v>
      </c>
      <c r="S392" s="76">
        <f t="shared" si="228"/>
        <v>0</v>
      </c>
    </row>
    <row r="393" spans="1:19" s="39" customFormat="1" ht="12.75" hidden="1">
      <c r="A393" s="69">
        <v>4</v>
      </c>
      <c r="B393" s="70"/>
      <c r="C393" s="71" t="s">
        <v>52</v>
      </c>
      <c r="D393" s="72" t="str">
        <f t="shared" si="222"/>
        <v>услуга 23</v>
      </c>
      <c r="E393" s="71"/>
      <c r="F393" s="71">
        <f t="shared" si="220"/>
        <v>0</v>
      </c>
      <c r="G393" s="71">
        <v>7570</v>
      </c>
      <c r="H393" s="73">
        <f t="shared" si="229"/>
        <v>0</v>
      </c>
      <c r="I393" s="73"/>
      <c r="J393" s="71"/>
      <c r="K393" s="74">
        <f t="shared" si="223"/>
        <v>0</v>
      </c>
      <c r="L393" s="71">
        <f t="shared" si="221"/>
        <v>1800</v>
      </c>
      <c r="M393" s="71">
        <f t="shared" si="224"/>
        <v>0</v>
      </c>
      <c r="N393" s="71"/>
      <c r="O393" s="71"/>
      <c r="P393" s="75">
        <f t="shared" si="225"/>
        <v>0</v>
      </c>
      <c r="Q393" s="74">
        <f t="shared" si="226"/>
        <v>0</v>
      </c>
      <c r="R393" s="74">
        <f t="shared" si="227"/>
        <v>0</v>
      </c>
      <c r="S393" s="76">
        <f t="shared" si="228"/>
        <v>0</v>
      </c>
    </row>
    <row r="394" spans="1:19" s="39" customFormat="1" ht="12.75" hidden="1">
      <c r="A394" s="69">
        <v>5</v>
      </c>
      <c r="B394" s="70"/>
      <c r="C394" s="71" t="s">
        <v>52</v>
      </c>
      <c r="D394" s="72" t="str">
        <f t="shared" si="222"/>
        <v>услуга 23</v>
      </c>
      <c r="E394" s="71"/>
      <c r="F394" s="71">
        <f t="shared" si="220"/>
        <v>0</v>
      </c>
      <c r="G394" s="71">
        <v>7570</v>
      </c>
      <c r="H394" s="73">
        <f t="shared" si="229"/>
        <v>0</v>
      </c>
      <c r="I394" s="73"/>
      <c r="J394" s="71"/>
      <c r="K394" s="74">
        <f t="shared" si="223"/>
        <v>0</v>
      </c>
      <c r="L394" s="71">
        <f t="shared" si="221"/>
        <v>1800</v>
      </c>
      <c r="M394" s="71">
        <f t="shared" si="224"/>
        <v>0</v>
      </c>
      <c r="N394" s="71"/>
      <c r="O394" s="71"/>
      <c r="P394" s="75">
        <f t="shared" si="225"/>
        <v>0</v>
      </c>
      <c r="Q394" s="74">
        <f t="shared" si="226"/>
        <v>0</v>
      </c>
      <c r="R394" s="74">
        <f t="shared" si="227"/>
        <v>0</v>
      </c>
      <c r="S394" s="76">
        <f t="shared" si="228"/>
        <v>0</v>
      </c>
    </row>
    <row r="395" spans="1:19" s="39" customFormat="1" ht="12.75" hidden="1">
      <c r="A395" s="69">
        <v>6</v>
      </c>
      <c r="B395" s="70"/>
      <c r="C395" s="71" t="s">
        <v>52</v>
      </c>
      <c r="D395" s="72" t="str">
        <f t="shared" si="222"/>
        <v>услуга 23</v>
      </c>
      <c r="E395" s="71"/>
      <c r="F395" s="71">
        <f t="shared" si="220"/>
        <v>0</v>
      </c>
      <c r="G395" s="71">
        <v>7570</v>
      </c>
      <c r="H395" s="73">
        <f t="shared" si="229"/>
        <v>0</v>
      </c>
      <c r="I395" s="73"/>
      <c r="J395" s="71"/>
      <c r="K395" s="74">
        <f t="shared" si="223"/>
        <v>0</v>
      </c>
      <c r="L395" s="71">
        <f t="shared" si="221"/>
        <v>1800</v>
      </c>
      <c r="M395" s="71">
        <f t="shared" si="224"/>
        <v>0</v>
      </c>
      <c r="N395" s="71"/>
      <c r="O395" s="71"/>
      <c r="P395" s="75">
        <f t="shared" si="225"/>
        <v>0</v>
      </c>
      <c r="Q395" s="74">
        <f t="shared" si="226"/>
        <v>0</v>
      </c>
      <c r="R395" s="74">
        <f t="shared" si="227"/>
        <v>0</v>
      </c>
      <c r="S395" s="76">
        <f t="shared" si="228"/>
        <v>0</v>
      </c>
    </row>
    <row r="396" spans="1:19" s="39" customFormat="1" ht="12.75" hidden="1">
      <c r="A396" s="69">
        <v>7</v>
      </c>
      <c r="B396" s="70"/>
      <c r="C396" s="71" t="s">
        <v>52</v>
      </c>
      <c r="D396" s="72" t="str">
        <f t="shared" si="222"/>
        <v>услуга 23</v>
      </c>
      <c r="E396" s="71"/>
      <c r="F396" s="71">
        <f t="shared" si="220"/>
        <v>0</v>
      </c>
      <c r="G396" s="71">
        <v>7570</v>
      </c>
      <c r="H396" s="73">
        <f t="shared" si="229"/>
        <v>0</v>
      </c>
      <c r="I396" s="73"/>
      <c r="J396" s="71"/>
      <c r="K396" s="74">
        <f t="shared" si="223"/>
        <v>0</v>
      </c>
      <c r="L396" s="71">
        <f t="shared" si="221"/>
        <v>1800</v>
      </c>
      <c r="M396" s="71">
        <f t="shared" si="224"/>
        <v>0</v>
      </c>
      <c r="N396" s="71"/>
      <c r="O396" s="71"/>
      <c r="P396" s="75">
        <f t="shared" si="225"/>
        <v>0</v>
      </c>
      <c r="Q396" s="74">
        <f t="shared" si="226"/>
        <v>0</v>
      </c>
      <c r="R396" s="74">
        <f t="shared" si="227"/>
        <v>0</v>
      </c>
      <c r="S396" s="76">
        <f t="shared" si="228"/>
        <v>0</v>
      </c>
    </row>
    <row r="397" spans="1:19" s="39" customFormat="1" ht="12.75" hidden="1">
      <c r="A397" s="69">
        <v>8</v>
      </c>
      <c r="B397" s="70"/>
      <c r="C397" s="71" t="s">
        <v>52</v>
      </c>
      <c r="D397" s="72" t="str">
        <f t="shared" si="222"/>
        <v>услуга 23</v>
      </c>
      <c r="E397" s="71"/>
      <c r="F397" s="71">
        <f t="shared" si="220"/>
        <v>0</v>
      </c>
      <c r="G397" s="71">
        <v>7570</v>
      </c>
      <c r="H397" s="73">
        <f t="shared" si="229"/>
        <v>0</v>
      </c>
      <c r="I397" s="73"/>
      <c r="J397" s="71"/>
      <c r="K397" s="74">
        <f t="shared" si="223"/>
        <v>0</v>
      </c>
      <c r="L397" s="71">
        <f t="shared" si="221"/>
        <v>1800</v>
      </c>
      <c r="M397" s="71">
        <f t="shared" si="224"/>
        <v>0</v>
      </c>
      <c r="N397" s="71"/>
      <c r="O397" s="71"/>
      <c r="P397" s="75">
        <f t="shared" si="225"/>
        <v>0</v>
      </c>
      <c r="Q397" s="74">
        <f t="shared" si="226"/>
        <v>0</v>
      </c>
      <c r="R397" s="74">
        <f t="shared" si="227"/>
        <v>0</v>
      </c>
      <c r="S397" s="76">
        <f t="shared" si="228"/>
        <v>0</v>
      </c>
    </row>
    <row r="398" spans="1:19" s="39" customFormat="1" ht="12.75" hidden="1">
      <c r="A398" s="69">
        <v>9</v>
      </c>
      <c r="B398" s="70"/>
      <c r="C398" s="71" t="s">
        <v>52</v>
      </c>
      <c r="D398" s="72" t="str">
        <f t="shared" si="222"/>
        <v>услуга 23</v>
      </c>
      <c r="E398" s="71"/>
      <c r="F398" s="71">
        <f t="shared" si="220"/>
        <v>0</v>
      </c>
      <c r="G398" s="71">
        <v>7570</v>
      </c>
      <c r="H398" s="73">
        <f t="shared" si="229"/>
        <v>0</v>
      </c>
      <c r="I398" s="73"/>
      <c r="J398" s="71"/>
      <c r="K398" s="74">
        <f t="shared" si="223"/>
        <v>0</v>
      </c>
      <c r="L398" s="71">
        <f t="shared" si="221"/>
        <v>1800</v>
      </c>
      <c r="M398" s="71">
        <f t="shared" si="224"/>
        <v>0</v>
      </c>
      <c r="N398" s="71"/>
      <c r="O398" s="71"/>
      <c r="P398" s="75">
        <f t="shared" si="225"/>
        <v>0</v>
      </c>
      <c r="Q398" s="74">
        <f t="shared" si="226"/>
        <v>0</v>
      </c>
      <c r="R398" s="74">
        <f t="shared" si="227"/>
        <v>0</v>
      </c>
      <c r="S398" s="76">
        <f t="shared" si="228"/>
        <v>0</v>
      </c>
    </row>
    <row r="399" spans="1:19" s="39" customFormat="1" ht="12.75" hidden="1">
      <c r="A399" s="69">
        <v>10</v>
      </c>
      <c r="B399" s="70"/>
      <c r="C399" s="71" t="s">
        <v>52</v>
      </c>
      <c r="D399" s="72" t="str">
        <f t="shared" si="222"/>
        <v>услуга 23</v>
      </c>
      <c r="E399" s="71"/>
      <c r="F399" s="71">
        <f t="shared" si="220"/>
        <v>0</v>
      </c>
      <c r="G399" s="71">
        <v>7570</v>
      </c>
      <c r="H399" s="73">
        <f t="shared" si="229"/>
        <v>0</v>
      </c>
      <c r="I399" s="73"/>
      <c r="J399" s="71"/>
      <c r="K399" s="74">
        <f t="shared" si="223"/>
        <v>0</v>
      </c>
      <c r="L399" s="71">
        <f t="shared" si="221"/>
        <v>1800</v>
      </c>
      <c r="M399" s="71">
        <f t="shared" si="224"/>
        <v>0</v>
      </c>
      <c r="N399" s="71"/>
      <c r="O399" s="71"/>
      <c r="P399" s="75">
        <f t="shared" si="225"/>
        <v>0</v>
      </c>
      <c r="Q399" s="74">
        <f t="shared" si="226"/>
        <v>0</v>
      </c>
      <c r="R399" s="74">
        <f t="shared" si="227"/>
        <v>0</v>
      </c>
      <c r="S399" s="76">
        <f t="shared" si="228"/>
        <v>0</v>
      </c>
    </row>
    <row r="400" spans="1:19" s="39" customFormat="1" ht="13.5" hidden="1" thickBot="1">
      <c r="A400" s="113"/>
      <c r="B400" s="114"/>
      <c r="C400" s="114"/>
      <c r="D400" s="114" t="s">
        <v>53</v>
      </c>
      <c r="E400" s="114"/>
      <c r="F400" s="115">
        <f>SUM(F390:F399)</f>
        <v>0</v>
      </c>
      <c r="G400" s="114"/>
      <c r="H400" s="114"/>
      <c r="I400" s="114"/>
      <c r="J400" s="114"/>
      <c r="K400" s="116"/>
      <c r="L400" s="114"/>
      <c r="M400" s="117">
        <f>SUM(M390:M399)</f>
        <v>0</v>
      </c>
      <c r="N400" s="117">
        <f>SUM(N390:N399)</f>
        <v>0</v>
      </c>
      <c r="O400" s="117">
        <f>SUM(O390:O399)</f>
        <v>0</v>
      </c>
      <c r="P400" s="114"/>
      <c r="Q400" s="115">
        <f>SUM(Q390:Q399)</f>
        <v>0</v>
      </c>
      <c r="R400" s="115">
        <f>SUM(R390:R399)</f>
        <v>0</v>
      </c>
      <c r="S400" s="143">
        <f>SUM(S390:S399)</f>
        <v>0</v>
      </c>
    </row>
    <row r="401" spans="1:19" s="39" customFormat="1" ht="12.75" hidden="1">
      <c r="A401" s="118"/>
      <c r="B401" s="92"/>
      <c r="C401" s="92"/>
      <c r="D401" s="92"/>
      <c r="E401" s="92"/>
      <c r="F401" s="93"/>
      <c r="G401" s="92"/>
      <c r="H401" s="92"/>
      <c r="I401" s="92"/>
      <c r="J401" s="92"/>
      <c r="K401" s="94"/>
      <c r="L401" s="92"/>
      <c r="M401" s="95"/>
      <c r="N401" s="95">
        <f>доходы!C34</f>
        <v>0</v>
      </c>
      <c r="O401" s="96" t="s">
        <v>116</v>
      </c>
      <c r="P401" s="119"/>
      <c r="Q401" s="120"/>
      <c r="R401" s="121"/>
      <c r="S401" s="136"/>
    </row>
    <row r="402" spans="1:19" s="39" customFormat="1" ht="12.75" hidden="1">
      <c r="A402" s="137" t="s">
        <v>138</v>
      </c>
      <c r="B402" s="138" t="str">
        <f>доходы!B35</f>
        <v>услуга 24</v>
      </c>
      <c r="C402" s="92"/>
      <c r="D402" s="92"/>
      <c r="E402" s="92"/>
      <c r="F402" s="139"/>
      <c r="G402" s="139"/>
      <c r="H402" s="139"/>
      <c r="I402" s="139"/>
      <c r="J402" s="139"/>
      <c r="K402" s="140"/>
      <c r="L402" s="139"/>
      <c r="M402" s="139"/>
      <c r="N402" s="139"/>
      <c r="O402" s="139"/>
      <c r="P402" s="139"/>
      <c r="Q402" s="139"/>
      <c r="R402" s="139"/>
      <c r="S402" s="141"/>
    </row>
    <row r="403" spans="1:19" s="39" customFormat="1" ht="13.5" hidden="1" thickBot="1">
      <c r="A403" s="142"/>
      <c r="B403" s="139"/>
      <c r="C403" s="139"/>
      <c r="D403" s="139"/>
      <c r="E403" s="139"/>
      <c r="F403" s="139"/>
      <c r="G403" s="139"/>
      <c r="H403" s="139"/>
      <c r="I403" s="139"/>
      <c r="J403" s="139"/>
      <c r="K403" s="140"/>
      <c r="L403" s="139"/>
      <c r="M403" s="139"/>
      <c r="N403" s="139"/>
      <c r="O403" s="139"/>
      <c r="P403" s="139"/>
      <c r="Q403" s="139"/>
      <c r="R403" s="139"/>
      <c r="S403" s="141"/>
    </row>
    <row r="404" spans="1:19" s="39" customFormat="1" ht="51.75" hidden="1" thickBot="1">
      <c r="A404" s="99" t="s">
        <v>1</v>
      </c>
      <c r="B404" s="99" t="s">
        <v>2</v>
      </c>
      <c r="C404" s="99" t="s">
        <v>8</v>
      </c>
      <c r="D404" s="99" t="s">
        <v>3</v>
      </c>
      <c r="E404" s="99" t="s">
        <v>4</v>
      </c>
      <c r="F404" s="99" t="s">
        <v>5</v>
      </c>
      <c r="G404" s="99" t="s">
        <v>64</v>
      </c>
      <c r="H404" s="99" t="s">
        <v>117</v>
      </c>
      <c r="I404" s="99" t="s">
        <v>99</v>
      </c>
      <c r="J404" s="99" t="s">
        <v>65</v>
      </c>
      <c r="K404" s="100" t="s">
        <v>66</v>
      </c>
      <c r="L404" s="99" t="s">
        <v>67</v>
      </c>
      <c r="M404" s="99" t="s">
        <v>6</v>
      </c>
      <c r="N404" s="99" t="s">
        <v>54</v>
      </c>
      <c r="O404" s="99" t="s">
        <v>7</v>
      </c>
      <c r="P404" s="99" t="s">
        <v>48</v>
      </c>
      <c r="Q404" s="99" t="s">
        <v>49</v>
      </c>
      <c r="R404" s="99" t="s">
        <v>50</v>
      </c>
      <c r="S404" s="99" t="s">
        <v>51</v>
      </c>
    </row>
    <row r="405" spans="1:19" s="39" customFormat="1" ht="12.75" hidden="1">
      <c r="A405" s="101">
        <v>1</v>
      </c>
      <c r="B405" s="102">
        <v>2</v>
      </c>
      <c r="C405" s="102">
        <v>3</v>
      </c>
      <c r="D405" s="102">
        <v>4</v>
      </c>
      <c r="E405" s="102">
        <v>5</v>
      </c>
      <c r="F405" s="102">
        <v>6</v>
      </c>
      <c r="G405" s="102">
        <v>7</v>
      </c>
      <c r="H405" s="102">
        <v>8</v>
      </c>
      <c r="I405" s="102">
        <v>9</v>
      </c>
      <c r="J405" s="102">
        <v>10</v>
      </c>
      <c r="K405" s="104">
        <v>11</v>
      </c>
      <c r="L405" s="102">
        <v>12</v>
      </c>
      <c r="M405" s="102">
        <v>13</v>
      </c>
      <c r="N405" s="102">
        <v>14</v>
      </c>
      <c r="O405" s="102">
        <v>15</v>
      </c>
      <c r="P405" s="102">
        <v>16</v>
      </c>
      <c r="Q405" s="102">
        <v>17</v>
      </c>
      <c r="R405" s="102">
        <v>18</v>
      </c>
      <c r="S405" s="105">
        <v>19</v>
      </c>
    </row>
    <row r="406" spans="1:19" s="39" customFormat="1" ht="12.75" hidden="1">
      <c r="A406" s="69">
        <v>1</v>
      </c>
      <c r="B406" s="70" t="s">
        <v>118</v>
      </c>
      <c r="C406" s="71" t="s">
        <v>52</v>
      </c>
      <c r="D406" s="72" t="str">
        <f>B$402</f>
        <v>услуга 24</v>
      </c>
      <c r="E406" s="71"/>
      <c r="F406" s="71">
        <f aca="true" t="shared" si="230" ref="F406:F415">ROUND(O406/18/4,2)</f>
        <v>0</v>
      </c>
      <c r="G406" s="71">
        <v>7570</v>
      </c>
      <c r="H406" s="73">
        <v>0.15</v>
      </c>
      <c r="I406" s="73">
        <v>0</v>
      </c>
      <c r="J406" s="71"/>
      <c r="K406" s="74">
        <f>(G406+G406*(H406+I406))*J406</f>
        <v>0</v>
      </c>
      <c r="L406" s="71">
        <f aca="true" t="shared" si="231" ref="L406:L415">18*25*4</f>
        <v>1800</v>
      </c>
      <c r="M406" s="71">
        <f>N406*O406</f>
        <v>0</v>
      </c>
      <c r="N406" s="71"/>
      <c r="O406" s="71"/>
      <c r="P406" s="75">
        <f>ROUND(K406/L406,2)</f>
        <v>0</v>
      </c>
      <c r="Q406" s="74">
        <f>N406*O406*P406</f>
        <v>0</v>
      </c>
      <c r="R406" s="74">
        <f>Q406*0.15</f>
        <v>0</v>
      </c>
      <c r="S406" s="76">
        <f>Q406+R406</f>
        <v>0</v>
      </c>
    </row>
    <row r="407" spans="1:19" s="39" customFormat="1" ht="12.75" hidden="1">
      <c r="A407" s="69">
        <v>2</v>
      </c>
      <c r="B407" s="70"/>
      <c r="C407" s="71" t="s">
        <v>52</v>
      </c>
      <c r="D407" s="72" t="str">
        <f aca="true" t="shared" si="232" ref="D407:D415">B$402</f>
        <v>услуга 24</v>
      </c>
      <c r="E407" s="71"/>
      <c r="F407" s="71">
        <f t="shared" si="230"/>
        <v>0</v>
      </c>
      <c r="G407" s="71">
        <v>7570</v>
      </c>
      <c r="H407" s="73">
        <f>H$24</f>
        <v>0</v>
      </c>
      <c r="I407" s="73">
        <v>0</v>
      </c>
      <c r="J407" s="71"/>
      <c r="K407" s="74">
        <f aca="true" t="shared" si="233" ref="K407:K415">(G407+G407*(H407+I407))*J407</f>
        <v>0</v>
      </c>
      <c r="L407" s="71">
        <f t="shared" si="231"/>
        <v>1800</v>
      </c>
      <c r="M407" s="71">
        <f aca="true" t="shared" si="234" ref="M407:M415">N407*O407</f>
        <v>0</v>
      </c>
      <c r="N407" s="71"/>
      <c r="O407" s="71"/>
      <c r="P407" s="75">
        <f aca="true" t="shared" si="235" ref="P407:P415">ROUND(K407/L407,2)</f>
        <v>0</v>
      </c>
      <c r="Q407" s="74">
        <f aca="true" t="shared" si="236" ref="Q407:Q415">N407*O407*P407</f>
        <v>0</v>
      </c>
      <c r="R407" s="74">
        <f aca="true" t="shared" si="237" ref="R407:R415">Q407*0.15</f>
        <v>0</v>
      </c>
      <c r="S407" s="76">
        <f aca="true" t="shared" si="238" ref="S407:S415">Q407+R407</f>
        <v>0</v>
      </c>
    </row>
    <row r="408" spans="1:19" s="39" customFormat="1" ht="12.75" hidden="1">
      <c r="A408" s="69">
        <v>3</v>
      </c>
      <c r="B408" s="70"/>
      <c r="C408" s="71" t="s">
        <v>52</v>
      </c>
      <c r="D408" s="72" t="str">
        <f t="shared" si="232"/>
        <v>услуга 24</v>
      </c>
      <c r="E408" s="71"/>
      <c r="F408" s="71">
        <f t="shared" si="230"/>
        <v>0</v>
      </c>
      <c r="G408" s="71">
        <v>7570</v>
      </c>
      <c r="H408" s="73">
        <f aca="true" t="shared" si="239" ref="H408:H415">H$24</f>
        <v>0</v>
      </c>
      <c r="I408" s="73"/>
      <c r="J408" s="71"/>
      <c r="K408" s="74">
        <f t="shared" si="233"/>
        <v>0</v>
      </c>
      <c r="L408" s="71">
        <f t="shared" si="231"/>
        <v>1800</v>
      </c>
      <c r="M408" s="71">
        <f t="shared" si="234"/>
        <v>0</v>
      </c>
      <c r="N408" s="71"/>
      <c r="O408" s="71"/>
      <c r="P408" s="75">
        <f t="shared" si="235"/>
        <v>0</v>
      </c>
      <c r="Q408" s="74">
        <f t="shared" si="236"/>
        <v>0</v>
      </c>
      <c r="R408" s="74">
        <f t="shared" si="237"/>
        <v>0</v>
      </c>
      <c r="S408" s="76">
        <f t="shared" si="238"/>
        <v>0</v>
      </c>
    </row>
    <row r="409" spans="1:19" s="39" customFormat="1" ht="12.75" hidden="1">
      <c r="A409" s="69">
        <v>4</v>
      </c>
      <c r="B409" s="70"/>
      <c r="C409" s="71" t="s">
        <v>52</v>
      </c>
      <c r="D409" s="72" t="str">
        <f t="shared" si="232"/>
        <v>услуга 24</v>
      </c>
      <c r="E409" s="71"/>
      <c r="F409" s="71">
        <f t="shared" si="230"/>
        <v>0</v>
      </c>
      <c r="G409" s="71">
        <v>7570</v>
      </c>
      <c r="H409" s="73">
        <f t="shared" si="239"/>
        <v>0</v>
      </c>
      <c r="I409" s="73"/>
      <c r="J409" s="71"/>
      <c r="K409" s="74">
        <f t="shared" si="233"/>
        <v>0</v>
      </c>
      <c r="L409" s="71">
        <f t="shared" si="231"/>
        <v>1800</v>
      </c>
      <c r="M409" s="71">
        <f t="shared" si="234"/>
        <v>0</v>
      </c>
      <c r="N409" s="71"/>
      <c r="O409" s="71"/>
      <c r="P409" s="75">
        <f t="shared" si="235"/>
        <v>0</v>
      </c>
      <c r="Q409" s="74">
        <f t="shared" si="236"/>
        <v>0</v>
      </c>
      <c r="R409" s="74">
        <f t="shared" si="237"/>
        <v>0</v>
      </c>
      <c r="S409" s="76">
        <f t="shared" si="238"/>
        <v>0</v>
      </c>
    </row>
    <row r="410" spans="1:19" s="39" customFormat="1" ht="12.75" hidden="1">
      <c r="A410" s="69">
        <v>5</v>
      </c>
      <c r="B410" s="70"/>
      <c r="C410" s="71" t="s">
        <v>52</v>
      </c>
      <c r="D410" s="72" t="str">
        <f t="shared" si="232"/>
        <v>услуга 24</v>
      </c>
      <c r="E410" s="71"/>
      <c r="F410" s="71">
        <f t="shared" si="230"/>
        <v>0</v>
      </c>
      <c r="G410" s="71">
        <v>7570</v>
      </c>
      <c r="H410" s="73">
        <f t="shared" si="239"/>
        <v>0</v>
      </c>
      <c r="I410" s="73"/>
      <c r="J410" s="71"/>
      <c r="K410" s="74">
        <f t="shared" si="233"/>
        <v>0</v>
      </c>
      <c r="L410" s="71">
        <f t="shared" si="231"/>
        <v>1800</v>
      </c>
      <c r="M410" s="71">
        <f t="shared" si="234"/>
        <v>0</v>
      </c>
      <c r="N410" s="71"/>
      <c r="O410" s="71"/>
      <c r="P410" s="75">
        <f t="shared" si="235"/>
        <v>0</v>
      </c>
      <c r="Q410" s="74">
        <f t="shared" si="236"/>
        <v>0</v>
      </c>
      <c r="R410" s="74">
        <f t="shared" si="237"/>
        <v>0</v>
      </c>
      <c r="S410" s="76">
        <f t="shared" si="238"/>
        <v>0</v>
      </c>
    </row>
    <row r="411" spans="1:19" s="39" customFormat="1" ht="12.75" hidden="1">
      <c r="A411" s="69">
        <v>6</v>
      </c>
      <c r="B411" s="70"/>
      <c r="C411" s="71" t="s">
        <v>52</v>
      </c>
      <c r="D411" s="72" t="str">
        <f t="shared" si="232"/>
        <v>услуга 24</v>
      </c>
      <c r="E411" s="71"/>
      <c r="F411" s="71">
        <f t="shared" si="230"/>
        <v>0</v>
      </c>
      <c r="G411" s="71">
        <v>7570</v>
      </c>
      <c r="H411" s="73">
        <f t="shared" si="239"/>
        <v>0</v>
      </c>
      <c r="I411" s="73"/>
      <c r="J411" s="71"/>
      <c r="K411" s="74">
        <f t="shared" si="233"/>
        <v>0</v>
      </c>
      <c r="L411" s="71">
        <f t="shared" si="231"/>
        <v>1800</v>
      </c>
      <c r="M411" s="71">
        <f t="shared" si="234"/>
        <v>0</v>
      </c>
      <c r="N411" s="71"/>
      <c r="O411" s="71"/>
      <c r="P411" s="75">
        <f t="shared" si="235"/>
        <v>0</v>
      </c>
      <c r="Q411" s="74">
        <f t="shared" si="236"/>
        <v>0</v>
      </c>
      <c r="R411" s="74">
        <f t="shared" si="237"/>
        <v>0</v>
      </c>
      <c r="S411" s="76">
        <f t="shared" si="238"/>
        <v>0</v>
      </c>
    </row>
    <row r="412" spans="1:19" s="39" customFormat="1" ht="12.75" hidden="1">
      <c r="A412" s="69">
        <v>7</v>
      </c>
      <c r="B412" s="70"/>
      <c r="C412" s="71" t="s">
        <v>52</v>
      </c>
      <c r="D412" s="72" t="str">
        <f t="shared" si="232"/>
        <v>услуга 24</v>
      </c>
      <c r="E412" s="71"/>
      <c r="F412" s="71">
        <f t="shared" si="230"/>
        <v>0</v>
      </c>
      <c r="G412" s="71">
        <v>7570</v>
      </c>
      <c r="H412" s="73">
        <f t="shared" si="239"/>
        <v>0</v>
      </c>
      <c r="I412" s="73"/>
      <c r="J412" s="71"/>
      <c r="K412" s="74">
        <f t="shared" si="233"/>
        <v>0</v>
      </c>
      <c r="L412" s="71">
        <f t="shared" si="231"/>
        <v>1800</v>
      </c>
      <c r="M412" s="71">
        <f t="shared" si="234"/>
        <v>0</v>
      </c>
      <c r="N412" s="71"/>
      <c r="O412" s="71"/>
      <c r="P412" s="75">
        <f t="shared" si="235"/>
        <v>0</v>
      </c>
      <c r="Q412" s="74">
        <f t="shared" si="236"/>
        <v>0</v>
      </c>
      <c r="R412" s="74">
        <f t="shared" si="237"/>
        <v>0</v>
      </c>
      <c r="S412" s="76">
        <f t="shared" si="238"/>
        <v>0</v>
      </c>
    </row>
    <row r="413" spans="1:19" s="39" customFormat="1" ht="12.75" hidden="1">
      <c r="A413" s="69">
        <v>8</v>
      </c>
      <c r="B413" s="70"/>
      <c r="C413" s="71" t="s">
        <v>52</v>
      </c>
      <c r="D413" s="72" t="str">
        <f t="shared" si="232"/>
        <v>услуга 24</v>
      </c>
      <c r="E413" s="71"/>
      <c r="F413" s="71">
        <f t="shared" si="230"/>
        <v>0</v>
      </c>
      <c r="G413" s="71">
        <v>7570</v>
      </c>
      <c r="H413" s="73">
        <f t="shared" si="239"/>
        <v>0</v>
      </c>
      <c r="I413" s="73"/>
      <c r="J413" s="71"/>
      <c r="K413" s="74">
        <f t="shared" si="233"/>
        <v>0</v>
      </c>
      <c r="L413" s="71">
        <f t="shared" si="231"/>
        <v>1800</v>
      </c>
      <c r="M413" s="71">
        <f t="shared" si="234"/>
        <v>0</v>
      </c>
      <c r="N413" s="71"/>
      <c r="O413" s="71"/>
      <c r="P413" s="75">
        <f t="shared" si="235"/>
        <v>0</v>
      </c>
      <c r="Q413" s="74">
        <f t="shared" si="236"/>
        <v>0</v>
      </c>
      <c r="R413" s="74">
        <f t="shared" si="237"/>
        <v>0</v>
      </c>
      <c r="S413" s="76">
        <f t="shared" si="238"/>
        <v>0</v>
      </c>
    </row>
    <row r="414" spans="1:19" s="39" customFormat="1" ht="12.75" hidden="1">
      <c r="A414" s="69">
        <v>9</v>
      </c>
      <c r="B414" s="70"/>
      <c r="C414" s="71" t="s">
        <v>52</v>
      </c>
      <c r="D414" s="72" t="str">
        <f t="shared" si="232"/>
        <v>услуга 24</v>
      </c>
      <c r="E414" s="71"/>
      <c r="F414" s="71">
        <f t="shared" si="230"/>
        <v>0</v>
      </c>
      <c r="G414" s="71">
        <v>7570</v>
      </c>
      <c r="H414" s="73">
        <f t="shared" si="239"/>
        <v>0</v>
      </c>
      <c r="I414" s="73"/>
      <c r="J414" s="71"/>
      <c r="K414" s="74">
        <f t="shared" si="233"/>
        <v>0</v>
      </c>
      <c r="L414" s="71">
        <f t="shared" si="231"/>
        <v>1800</v>
      </c>
      <c r="M414" s="71">
        <f t="shared" si="234"/>
        <v>0</v>
      </c>
      <c r="N414" s="71"/>
      <c r="O414" s="71"/>
      <c r="P414" s="75">
        <f t="shared" si="235"/>
        <v>0</v>
      </c>
      <c r="Q414" s="74">
        <f t="shared" si="236"/>
        <v>0</v>
      </c>
      <c r="R414" s="74">
        <f t="shared" si="237"/>
        <v>0</v>
      </c>
      <c r="S414" s="76">
        <f t="shared" si="238"/>
        <v>0</v>
      </c>
    </row>
    <row r="415" spans="1:19" s="39" customFormat="1" ht="12.75" hidden="1">
      <c r="A415" s="69">
        <v>10</v>
      </c>
      <c r="B415" s="70"/>
      <c r="C415" s="71" t="s">
        <v>52</v>
      </c>
      <c r="D415" s="72" t="str">
        <f t="shared" si="232"/>
        <v>услуга 24</v>
      </c>
      <c r="E415" s="71"/>
      <c r="F415" s="71">
        <f t="shared" si="230"/>
        <v>0</v>
      </c>
      <c r="G415" s="71">
        <v>7570</v>
      </c>
      <c r="H415" s="73">
        <f t="shared" si="239"/>
        <v>0</v>
      </c>
      <c r="I415" s="73"/>
      <c r="J415" s="71"/>
      <c r="K415" s="74">
        <f t="shared" si="233"/>
        <v>0</v>
      </c>
      <c r="L415" s="71">
        <f t="shared" si="231"/>
        <v>1800</v>
      </c>
      <c r="M415" s="71">
        <f t="shared" si="234"/>
        <v>0</v>
      </c>
      <c r="N415" s="71"/>
      <c r="O415" s="71"/>
      <c r="P415" s="75">
        <f t="shared" si="235"/>
        <v>0</v>
      </c>
      <c r="Q415" s="74">
        <f t="shared" si="236"/>
        <v>0</v>
      </c>
      <c r="R415" s="74">
        <f t="shared" si="237"/>
        <v>0</v>
      </c>
      <c r="S415" s="76">
        <f t="shared" si="238"/>
        <v>0</v>
      </c>
    </row>
    <row r="416" spans="1:19" s="39" customFormat="1" ht="13.5" hidden="1" thickBot="1">
      <c r="A416" s="113"/>
      <c r="B416" s="114"/>
      <c r="C416" s="114"/>
      <c r="D416" s="114" t="s">
        <v>53</v>
      </c>
      <c r="E416" s="114"/>
      <c r="F416" s="115">
        <f>SUM(F406:F415)</f>
        <v>0</v>
      </c>
      <c r="G416" s="114"/>
      <c r="H416" s="114"/>
      <c r="I416" s="114"/>
      <c r="J416" s="114"/>
      <c r="K416" s="116"/>
      <c r="L416" s="114"/>
      <c r="M416" s="117">
        <f>SUM(M406:M415)</f>
        <v>0</v>
      </c>
      <c r="N416" s="117">
        <f>SUM(N406:N415)</f>
        <v>0</v>
      </c>
      <c r="O416" s="117">
        <f>SUM(O406:O415)</f>
        <v>0</v>
      </c>
      <c r="P416" s="114"/>
      <c r="Q416" s="115">
        <f>SUM(Q406:Q415)</f>
        <v>0</v>
      </c>
      <c r="R416" s="115">
        <f>SUM(R406:R415)</f>
        <v>0</v>
      </c>
      <c r="S416" s="143">
        <f>SUM(S406:S415)</f>
        <v>0</v>
      </c>
    </row>
    <row r="417" spans="1:19" s="39" customFormat="1" ht="12.75" hidden="1">
      <c r="A417" s="118"/>
      <c r="B417" s="92"/>
      <c r="C417" s="92"/>
      <c r="D417" s="92"/>
      <c r="E417" s="92"/>
      <c r="F417" s="93"/>
      <c r="G417" s="92"/>
      <c r="H417" s="92"/>
      <c r="I417" s="92"/>
      <c r="J417" s="92"/>
      <c r="K417" s="94"/>
      <c r="L417" s="92"/>
      <c r="M417" s="95"/>
      <c r="N417" s="95">
        <f>доходы!C35</f>
        <v>0</v>
      </c>
      <c r="O417" s="96" t="s">
        <v>116</v>
      </c>
      <c r="P417" s="119"/>
      <c r="Q417" s="120"/>
      <c r="R417" s="121"/>
      <c r="S417" s="136"/>
    </row>
    <row r="418" spans="1:19" s="39" customFormat="1" ht="12.75" hidden="1">
      <c r="A418" s="137" t="s">
        <v>139</v>
      </c>
      <c r="B418" s="138" t="str">
        <f>доходы!B36</f>
        <v>услуга 25</v>
      </c>
      <c r="C418" s="92"/>
      <c r="D418" s="92"/>
      <c r="E418" s="92"/>
      <c r="F418" s="139"/>
      <c r="G418" s="139"/>
      <c r="H418" s="139"/>
      <c r="I418" s="139"/>
      <c r="J418" s="139"/>
      <c r="K418" s="140"/>
      <c r="L418" s="139"/>
      <c r="M418" s="139"/>
      <c r="N418" s="139"/>
      <c r="O418" s="139"/>
      <c r="P418" s="139"/>
      <c r="Q418" s="139"/>
      <c r="R418" s="139"/>
      <c r="S418" s="141"/>
    </row>
    <row r="419" spans="1:19" s="39" customFormat="1" ht="13.5" hidden="1" thickBot="1">
      <c r="A419" s="142"/>
      <c r="B419" s="139"/>
      <c r="C419" s="139"/>
      <c r="D419" s="139"/>
      <c r="E419" s="139"/>
      <c r="F419" s="139"/>
      <c r="G419" s="139"/>
      <c r="H419" s="139"/>
      <c r="I419" s="139"/>
      <c r="J419" s="139"/>
      <c r="K419" s="140"/>
      <c r="L419" s="139"/>
      <c r="M419" s="139"/>
      <c r="N419" s="139"/>
      <c r="O419" s="139"/>
      <c r="P419" s="139"/>
      <c r="Q419" s="139"/>
      <c r="R419" s="139"/>
      <c r="S419" s="141"/>
    </row>
    <row r="420" spans="1:19" s="39" customFormat="1" ht="51.75" hidden="1" thickBot="1">
      <c r="A420" s="99" t="s">
        <v>1</v>
      </c>
      <c r="B420" s="99" t="s">
        <v>2</v>
      </c>
      <c r="C420" s="99" t="s">
        <v>8</v>
      </c>
      <c r="D420" s="99" t="s">
        <v>3</v>
      </c>
      <c r="E420" s="99" t="s">
        <v>4</v>
      </c>
      <c r="F420" s="99" t="s">
        <v>5</v>
      </c>
      <c r="G420" s="99" t="s">
        <v>64</v>
      </c>
      <c r="H420" s="99" t="s">
        <v>117</v>
      </c>
      <c r="I420" s="99" t="s">
        <v>99</v>
      </c>
      <c r="J420" s="99" t="s">
        <v>65</v>
      </c>
      <c r="K420" s="100" t="s">
        <v>66</v>
      </c>
      <c r="L420" s="99" t="s">
        <v>67</v>
      </c>
      <c r="M420" s="99" t="s">
        <v>6</v>
      </c>
      <c r="N420" s="99" t="s">
        <v>54</v>
      </c>
      <c r="O420" s="99" t="s">
        <v>7</v>
      </c>
      <c r="P420" s="99" t="s">
        <v>48</v>
      </c>
      <c r="Q420" s="99" t="s">
        <v>49</v>
      </c>
      <c r="R420" s="99" t="s">
        <v>50</v>
      </c>
      <c r="S420" s="99" t="s">
        <v>51</v>
      </c>
    </row>
    <row r="421" spans="1:19" s="39" customFormat="1" ht="12.75" hidden="1">
      <c r="A421" s="101">
        <v>1</v>
      </c>
      <c r="B421" s="102">
        <v>2</v>
      </c>
      <c r="C421" s="102">
        <v>3</v>
      </c>
      <c r="D421" s="102">
        <v>4</v>
      </c>
      <c r="E421" s="102">
        <v>5</v>
      </c>
      <c r="F421" s="102">
        <v>6</v>
      </c>
      <c r="G421" s="102">
        <v>7</v>
      </c>
      <c r="H421" s="102">
        <v>8</v>
      </c>
      <c r="I421" s="102">
        <v>9</v>
      </c>
      <c r="J421" s="102">
        <v>10</v>
      </c>
      <c r="K421" s="104">
        <v>11</v>
      </c>
      <c r="L421" s="102">
        <v>12</v>
      </c>
      <c r="M421" s="102">
        <v>13</v>
      </c>
      <c r="N421" s="102">
        <v>14</v>
      </c>
      <c r="O421" s="102">
        <v>15</v>
      </c>
      <c r="P421" s="102">
        <v>16</v>
      </c>
      <c r="Q421" s="102">
        <v>17</v>
      </c>
      <c r="R421" s="102">
        <v>18</v>
      </c>
      <c r="S421" s="105">
        <v>19</v>
      </c>
    </row>
    <row r="422" spans="1:19" s="39" customFormat="1" ht="12.75" hidden="1">
      <c r="A422" s="69">
        <v>1</v>
      </c>
      <c r="B422" s="70" t="s">
        <v>118</v>
      </c>
      <c r="C422" s="71" t="s">
        <v>52</v>
      </c>
      <c r="D422" s="72" t="str">
        <f>B$418</f>
        <v>услуга 25</v>
      </c>
      <c r="E422" s="71"/>
      <c r="F422" s="71">
        <f aca="true" t="shared" si="240" ref="F422:F431">ROUND(O422/18/4,2)</f>
        <v>0</v>
      </c>
      <c r="G422" s="71">
        <v>7570</v>
      </c>
      <c r="H422" s="73">
        <v>0.15</v>
      </c>
      <c r="I422" s="73">
        <v>0</v>
      </c>
      <c r="J422" s="71"/>
      <c r="K422" s="74">
        <f>(G422+G422*(H422+I422))*J422</f>
        <v>0</v>
      </c>
      <c r="L422" s="71">
        <f aca="true" t="shared" si="241" ref="L422:L431">18*25*4</f>
        <v>1800</v>
      </c>
      <c r="M422" s="71">
        <f>N422*O422</f>
        <v>0</v>
      </c>
      <c r="N422" s="71"/>
      <c r="O422" s="71"/>
      <c r="P422" s="75">
        <f>ROUND(K422/L422,2)</f>
        <v>0</v>
      </c>
      <c r="Q422" s="74">
        <f>N422*O422*P422</f>
        <v>0</v>
      </c>
      <c r="R422" s="74">
        <f>Q422*0.15</f>
        <v>0</v>
      </c>
      <c r="S422" s="76">
        <f>Q422+R422</f>
        <v>0</v>
      </c>
    </row>
    <row r="423" spans="1:19" s="39" customFormat="1" ht="12.75" hidden="1">
      <c r="A423" s="69">
        <v>2</v>
      </c>
      <c r="B423" s="70"/>
      <c r="C423" s="71" t="s">
        <v>52</v>
      </c>
      <c r="D423" s="72" t="str">
        <f aca="true" t="shared" si="242" ref="D423:D431">B$418</f>
        <v>услуга 25</v>
      </c>
      <c r="E423" s="71"/>
      <c r="F423" s="71">
        <f t="shared" si="240"/>
        <v>0</v>
      </c>
      <c r="G423" s="71">
        <v>7570</v>
      </c>
      <c r="H423" s="73">
        <f>H$24</f>
        <v>0</v>
      </c>
      <c r="I423" s="73">
        <v>0</v>
      </c>
      <c r="J423" s="71"/>
      <c r="K423" s="74">
        <f aca="true" t="shared" si="243" ref="K423:K431">(G423+G423*(H423+I423))*J423</f>
        <v>0</v>
      </c>
      <c r="L423" s="71">
        <f t="shared" si="241"/>
        <v>1800</v>
      </c>
      <c r="M423" s="71">
        <f aca="true" t="shared" si="244" ref="M423:M431">N423*O423</f>
        <v>0</v>
      </c>
      <c r="N423" s="71"/>
      <c r="O423" s="71"/>
      <c r="P423" s="75">
        <f aca="true" t="shared" si="245" ref="P423:P431">ROUND(K423/L423,2)</f>
        <v>0</v>
      </c>
      <c r="Q423" s="74">
        <f aca="true" t="shared" si="246" ref="Q423:Q431">N423*O423*P423</f>
        <v>0</v>
      </c>
      <c r="R423" s="74">
        <f aca="true" t="shared" si="247" ref="R423:R431">Q423*0.15</f>
        <v>0</v>
      </c>
      <c r="S423" s="76">
        <f aca="true" t="shared" si="248" ref="S423:S431">Q423+R423</f>
        <v>0</v>
      </c>
    </row>
    <row r="424" spans="1:19" s="39" customFormat="1" ht="12.75" hidden="1">
      <c r="A424" s="69">
        <v>3</v>
      </c>
      <c r="B424" s="70"/>
      <c r="C424" s="71" t="s">
        <v>52</v>
      </c>
      <c r="D424" s="72" t="str">
        <f t="shared" si="242"/>
        <v>услуга 25</v>
      </c>
      <c r="E424" s="71"/>
      <c r="F424" s="71">
        <f t="shared" si="240"/>
        <v>0</v>
      </c>
      <c r="G424" s="71">
        <v>7570</v>
      </c>
      <c r="H424" s="73">
        <f aca="true" t="shared" si="249" ref="H424:H431">H$24</f>
        <v>0</v>
      </c>
      <c r="I424" s="73"/>
      <c r="J424" s="71"/>
      <c r="K424" s="74">
        <f t="shared" si="243"/>
        <v>0</v>
      </c>
      <c r="L424" s="71">
        <f t="shared" si="241"/>
        <v>1800</v>
      </c>
      <c r="M424" s="71">
        <f t="shared" si="244"/>
        <v>0</v>
      </c>
      <c r="N424" s="71"/>
      <c r="O424" s="71"/>
      <c r="P424" s="75">
        <f t="shared" si="245"/>
        <v>0</v>
      </c>
      <c r="Q424" s="74">
        <f t="shared" si="246"/>
        <v>0</v>
      </c>
      <c r="R424" s="74">
        <f t="shared" si="247"/>
        <v>0</v>
      </c>
      <c r="S424" s="76">
        <f t="shared" si="248"/>
        <v>0</v>
      </c>
    </row>
    <row r="425" spans="1:19" s="39" customFormat="1" ht="12.75" hidden="1">
      <c r="A425" s="69">
        <v>4</v>
      </c>
      <c r="B425" s="70"/>
      <c r="C425" s="71" t="s">
        <v>52</v>
      </c>
      <c r="D425" s="72" t="str">
        <f t="shared" si="242"/>
        <v>услуга 25</v>
      </c>
      <c r="E425" s="71"/>
      <c r="F425" s="71">
        <f t="shared" si="240"/>
        <v>0</v>
      </c>
      <c r="G425" s="71">
        <v>7570</v>
      </c>
      <c r="H425" s="73">
        <f t="shared" si="249"/>
        <v>0</v>
      </c>
      <c r="I425" s="73"/>
      <c r="J425" s="71"/>
      <c r="K425" s="74">
        <f t="shared" si="243"/>
        <v>0</v>
      </c>
      <c r="L425" s="71">
        <f t="shared" si="241"/>
        <v>1800</v>
      </c>
      <c r="M425" s="71">
        <f t="shared" si="244"/>
        <v>0</v>
      </c>
      <c r="N425" s="71"/>
      <c r="O425" s="71"/>
      <c r="P425" s="75">
        <f t="shared" si="245"/>
        <v>0</v>
      </c>
      <c r="Q425" s="74">
        <f t="shared" si="246"/>
        <v>0</v>
      </c>
      <c r="R425" s="74">
        <f t="shared" si="247"/>
        <v>0</v>
      </c>
      <c r="S425" s="76">
        <f t="shared" si="248"/>
        <v>0</v>
      </c>
    </row>
    <row r="426" spans="1:19" s="39" customFormat="1" ht="12.75" hidden="1">
      <c r="A426" s="69">
        <v>5</v>
      </c>
      <c r="B426" s="70"/>
      <c r="C426" s="71" t="s">
        <v>52</v>
      </c>
      <c r="D426" s="72" t="str">
        <f t="shared" si="242"/>
        <v>услуга 25</v>
      </c>
      <c r="E426" s="71"/>
      <c r="F426" s="71">
        <f t="shared" si="240"/>
        <v>0</v>
      </c>
      <c r="G426" s="71">
        <v>7570</v>
      </c>
      <c r="H426" s="73">
        <f t="shared" si="249"/>
        <v>0</v>
      </c>
      <c r="I426" s="73"/>
      <c r="J426" s="71"/>
      <c r="K426" s="74">
        <f t="shared" si="243"/>
        <v>0</v>
      </c>
      <c r="L426" s="71">
        <f t="shared" si="241"/>
        <v>1800</v>
      </c>
      <c r="M426" s="71">
        <f t="shared" si="244"/>
        <v>0</v>
      </c>
      <c r="N426" s="71"/>
      <c r="O426" s="71"/>
      <c r="P426" s="75">
        <f t="shared" si="245"/>
        <v>0</v>
      </c>
      <c r="Q426" s="74">
        <f t="shared" si="246"/>
        <v>0</v>
      </c>
      <c r="R426" s="74">
        <f t="shared" si="247"/>
        <v>0</v>
      </c>
      <c r="S426" s="76">
        <f t="shared" si="248"/>
        <v>0</v>
      </c>
    </row>
    <row r="427" spans="1:19" s="39" customFormat="1" ht="12.75" hidden="1">
      <c r="A427" s="69">
        <v>6</v>
      </c>
      <c r="B427" s="70"/>
      <c r="C427" s="71" t="s">
        <v>52</v>
      </c>
      <c r="D427" s="72" t="str">
        <f t="shared" si="242"/>
        <v>услуга 25</v>
      </c>
      <c r="E427" s="71"/>
      <c r="F427" s="71">
        <f t="shared" si="240"/>
        <v>0</v>
      </c>
      <c r="G427" s="71">
        <v>7570</v>
      </c>
      <c r="H427" s="73">
        <f t="shared" si="249"/>
        <v>0</v>
      </c>
      <c r="I427" s="73"/>
      <c r="J427" s="71"/>
      <c r="K427" s="74">
        <f t="shared" si="243"/>
        <v>0</v>
      </c>
      <c r="L427" s="71">
        <f t="shared" si="241"/>
        <v>1800</v>
      </c>
      <c r="M427" s="71">
        <f t="shared" si="244"/>
        <v>0</v>
      </c>
      <c r="N427" s="71"/>
      <c r="O427" s="71"/>
      <c r="P427" s="75">
        <f t="shared" si="245"/>
        <v>0</v>
      </c>
      <c r="Q427" s="74">
        <f t="shared" si="246"/>
        <v>0</v>
      </c>
      <c r="R427" s="74">
        <f t="shared" si="247"/>
        <v>0</v>
      </c>
      <c r="S427" s="76">
        <f t="shared" si="248"/>
        <v>0</v>
      </c>
    </row>
    <row r="428" spans="1:19" s="39" customFormat="1" ht="12.75" hidden="1">
      <c r="A428" s="69">
        <v>7</v>
      </c>
      <c r="B428" s="70"/>
      <c r="C428" s="71" t="s">
        <v>52</v>
      </c>
      <c r="D428" s="72" t="str">
        <f t="shared" si="242"/>
        <v>услуга 25</v>
      </c>
      <c r="E428" s="71"/>
      <c r="F428" s="71">
        <f t="shared" si="240"/>
        <v>0</v>
      </c>
      <c r="G428" s="71">
        <v>7570</v>
      </c>
      <c r="H428" s="73">
        <f t="shared" si="249"/>
        <v>0</v>
      </c>
      <c r="I428" s="73"/>
      <c r="J428" s="71"/>
      <c r="K428" s="74">
        <f t="shared" si="243"/>
        <v>0</v>
      </c>
      <c r="L428" s="71">
        <f t="shared" si="241"/>
        <v>1800</v>
      </c>
      <c r="M428" s="71">
        <f t="shared" si="244"/>
        <v>0</v>
      </c>
      <c r="N428" s="71"/>
      <c r="O428" s="71"/>
      <c r="P428" s="75">
        <f t="shared" si="245"/>
        <v>0</v>
      </c>
      <c r="Q428" s="74">
        <f t="shared" si="246"/>
        <v>0</v>
      </c>
      <c r="R428" s="74">
        <f t="shared" si="247"/>
        <v>0</v>
      </c>
      <c r="S428" s="76">
        <f t="shared" si="248"/>
        <v>0</v>
      </c>
    </row>
    <row r="429" spans="1:19" s="39" customFormat="1" ht="12.75" hidden="1">
      <c r="A429" s="69">
        <v>8</v>
      </c>
      <c r="B429" s="70"/>
      <c r="C429" s="71" t="s">
        <v>52</v>
      </c>
      <c r="D429" s="72" t="str">
        <f t="shared" si="242"/>
        <v>услуга 25</v>
      </c>
      <c r="E429" s="71"/>
      <c r="F429" s="71">
        <f t="shared" si="240"/>
        <v>0</v>
      </c>
      <c r="G429" s="71">
        <v>7570</v>
      </c>
      <c r="H429" s="73">
        <f t="shared" si="249"/>
        <v>0</v>
      </c>
      <c r="I429" s="73"/>
      <c r="J429" s="71"/>
      <c r="K429" s="74">
        <f t="shared" si="243"/>
        <v>0</v>
      </c>
      <c r="L429" s="71">
        <f t="shared" si="241"/>
        <v>1800</v>
      </c>
      <c r="M429" s="71">
        <f t="shared" si="244"/>
        <v>0</v>
      </c>
      <c r="N429" s="71"/>
      <c r="O429" s="71"/>
      <c r="P429" s="75">
        <f t="shared" si="245"/>
        <v>0</v>
      </c>
      <c r="Q429" s="74">
        <f t="shared" si="246"/>
        <v>0</v>
      </c>
      <c r="R429" s="74">
        <f t="shared" si="247"/>
        <v>0</v>
      </c>
      <c r="S429" s="76">
        <f t="shared" si="248"/>
        <v>0</v>
      </c>
    </row>
    <row r="430" spans="1:19" s="39" customFormat="1" ht="12.75" hidden="1">
      <c r="A430" s="69">
        <v>9</v>
      </c>
      <c r="B430" s="70"/>
      <c r="C430" s="71" t="s">
        <v>52</v>
      </c>
      <c r="D430" s="72" t="str">
        <f t="shared" si="242"/>
        <v>услуга 25</v>
      </c>
      <c r="E430" s="71"/>
      <c r="F430" s="71">
        <f t="shared" si="240"/>
        <v>0</v>
      </c>
      <c r="G430" s="71">
        <v>7570</v>
      </c>
      <c r="H430" s="73">
        <f t="shared" si="249"/>
        <v>0</v>
      </c>
      <c r="I430" s="73"/>
      <c r="J430" s="71"/>
      <c r="K430" s="74">
        <f t="shared" si="243"/>
        <v>0</v>
      </c>
      <c r="L430" s="71">
        <f t="shared" si="241"/>
        <v>1800</v>
      </c>
      <c r="M430" s="71">
        <f t="shared" si="244"/>
        <v>0</v>
      </c>
      <c r="N430" s="71"/>
      <c r="O430" s="71"/>
      <c r="P430" s="75">
        <f t="shared" si="245"/>
        <v>0</v>
      </c>
      <c r="Q430" s="74">
        <f t="shared" si="246"/>
        <v>0</v>
      </c>
      <c r="R430" s="74">
        <f t="shared" si="247"/>
        <v>0</v>
      </c>
      <c r="S430" s="76">
        <f t="shared" si="248"/>
        <v>0</v>
      </c>
    </row>
    <row r="431" spans="1:19" s="39" customFormat="1" ht="12.75" hidden="1">
      <c r="A431" s="69">
        <v>10</v>
      </c>
      <c r="B431" s="70"/>
      <c r="C431" s="71" t="s">
        <v>52</v>
      </c>
      <c r="D431" s="72" t="str">
        <f t="shared" si="242"/>
        <v>услуга 25</v>
      </c>
      <c r="E431" s="71"/>
      <c r="F431" s="71">
        <f t="shared" si="240"/>
        <v>0</v>
      </c>
      <c r="G431" s="71">
        <v>7570</v>
      </c>
      <c r="H431" s="73">
        <f t="shared" si="249"/>
        <v>0</v>
      </c>
      <c r="I431" s="73"/>
      <c r="J431" s="71"/>
      <c r="K431" s="74">
        <f t="shared" si="243"/>
        <v>0</v>
      </c>
      <c r="L431" s="71">
        <f t="shared" si="241"/>
        <v>1800</v>
      </c>
      <c r="M431" s="71">
        <f t="shared" si="244"/>
        <v>0</v>
      </c>
      <c r="N431" s="71"/>
      <c r="O431" s="71"/>
      <c r="P431" s="75">
        <f t="shared" si="245"/>
        <v>0</v>
      </c>
      <c r="Q431" s="74">
        <f t="shared" si="246"/>
        <v>0</v>
      </c>
      <c r="R431" s="74">
        <f t="shared" si="247"/>
        <v>0</v>
      </c>
      <c r="S431" s="76">
        <f t="shared" si="248"/>
        <v>0</v>
      </c>
    </row>
    <row r="432" spans="1:19" s="39" customFormat="1" ht="13.5" hidden="1" thickBot="1">
      <c r="A432" s="113"/>
      <c r="B432" s="114"/>
      <c r="C432" s="114"/>
      <c r="D432" s="114" t="s">
        <v>53</v>
      </c>
      <c r="E432" s="114"/>
      <c r="F432" s="115">
        <f>SUM(F422:F431)</f>
        <v>0</v>
      </c>
      <c r="G432" s="114"/>
      <c r="H432" s="114"/>
      <c r="I432" s="114"/>
      <c r="J432" s="114"/>
      <c r="K432" s="116"/>
      <c r="L432" s="114"/>
      <c r="M432" s="117">
        <f>SUM(M422:M431)</f>
        <v>0</v>
      </c>
      <c r="N432" s="117">
        <f>SUM(N422:N431)</f>
        <v>0</v>
      </c>
      <c r="O432" s="117">
        <f>SUM(O422:O431)</f>
        <v>0</v>
      </c>
      <c r="P432" s="114"/>
      <c r="Q432" s="115">
        <f>SUM(Q422:Q431)</f>
        <v>0</v>
      </c>
      <c r="R432" s="115">
        <f>SUM(R422:R431)</f>
        <v>0</v>
      </c>
      <c r="S432" s="143">
        <f>SUM(S422:S431)</f>
        <v>0</v>
      </c>
    </row>
    <row r="433" spans="1:19" s="39" customFormat="1" ht="12.75" hidden="1">
      <c r="A433" s="118"/>
      <c r="B433" s="92"/>
      <c r="C433" s="92"/>
      <c r="D433" s="92"/>
      <c r="E433" s="92"/>
      <c r="F433" s="93"/>
      <c r="G433" s="92"/>
      <c r="H433" s="92"/>
      <c r="I433" s="92"/>
      <c r="J433" s="92"/>
      <c r="K433" s="94"/>
      <c r="L433" s="92"/>
      <c r="M433" s="95"/>
      <c r="N433" s="95">
        <f>доходы!C36</f>
        <v>0</v>
      </c>
      <c r="O433" s="96" t="s">
        <v>116</v>
      </c>
      <c r="P433" s="119"/>
      <c r="Q433" s="120"/>
      <c r="R433" s="121"/>
      <c r="S433" s="136"/>
    </row>
    <row r="434" spans="1:19" s="39" customFormat="1" ht="12.75" hidden="1">
      <c r="A434" s="137" t="s">
        <v>140</v>
      </c>
      <c r="B434" s="138" t="str">
        <f>доходы!B37</f>
        <v>услуга 26</v>
      </c>
      <c r="C434" s="92"/>
      <c r="D434" s="92"/>
      <c r="E434" s="92"/>
      <c r="F434" s="139"/>
      <c r="G434" s="139"/>
      <c r="H434" s="139"/>
      <c r="I434" s="139"/>
      <c r="J434" s="139"/>
      <c r="K434" s="140"/>
      <c r="L434" s="139"/>
      <c r="M434" s="139"/>
      <c r="N434" s="139"/>
      <c r="O434" s="139"/>
      <c r="P434" s="139"/>
      <c r="Q434" s="139"/>
      <c r="R434" s="139"/>
      <c r="S434" s="141"/>
    </row>
    <row r="435" spans="1:19" s="39" customFormat="1" ht="13.5" hidden="1" thickBot="1">
      <c r="A435" s="142"/>
      <c r="B435" s="139"/>
      <c r="C435" s="139"/>
      <c r="D435" s="139"/>
      <c r="E435" s="139"/>
      <c r="F435" s="139"/>
      <c r="G435" s="139"/>
      <c r="H435" s="139"/>
      <c r="I435" s="139"/>
      <c r="J435" s="139"/>
      <c r="K435" s="140"/>
      <c r="L435" s="139"/>
      <c r="M435" s="139"/>
      <c r="N435" s="139"/>
      <c r="O435" s="139"/>
      <c r="P435" s="139"/>
      <c r="Q435" s="139"/>
      <c r="R435" s="139"/>
      <c r="S435" s="141"/>
    </row>
    <row r="436" spans="1:19" s="39" customFormat="1" ht="51.75" hidden="1" thickBot="1">
      <c r="A436" s="99" t="s">
        <v>1</v>
      </c>
      <c r="B436" s="99" t="s">
        <v>2</v>
      </c>
      <c r="C436" s="99" t="s">
        <v>8</v>
      </c>
      <c r="D436" s="99" t="s">
        <v>3</v>
      </c>
      <c r="E436" s="99" t="s">
        <v>4</v>
      </c>
      <c r="F436" s="99" t="s">
        <v>5</v>
      </c>
      <c r="G436" s="99" t="s">
        <v>64</v>
      </c>
      <c r="H436" s="99" t="s">
        <v>117</v>
      </c>
      <c r="I436" s="99" t="s">
        <v>99</v>
      </c>
      <c r="J436" s="99" t="s">
        <v>65</v>
      </c>
      <c r="K436" s="100" t="s">
        <v>66</v>
      </c>
      <c r="L436" s="99" t="s">
        <v>67</v>
      </c>
      <c r="M436" s="99" t="s">
        <v>6</v>
      </c>
      <c r="N436" s="99" t="s">
        <v>54</v>
      </c>
      <c r="O436" s="99" t="s">
        <v>7</v>
      </c>
      <c r="P436" s="99" t="s">
        <v>48</v>
      </c>
      <c r="Q436" s="99" t="s">
        <v>49</v>
      </c>
      <c r="R436" s="99" t="s">
        <v>50</v>
      </c>
      <c r="S436" s="99" t="s">
        <v>51</v>
      </c>
    </row>
    <row r="437" spans="1:19" s="39" customFormat="1" ht="12.75" hidden="1">
      <c r="A437" s="101">
        <v>1</v>
      </c>
      <c r="B437" s="102">
        <v>2</v>
      </c>
      <c r="C437" s="102">
        <v>3</v>
      </c>
      <c r="D437" s="102">
        <v>4</v>
      </c>
      <c r="E437" s="102">
        <v>5</v>
      </c>
      <c r="F437" s="102">
        <v>6</v>
      </c>
      <c r="G437" s="102">
        <v>7</v>
      </c>
      <c r="H437" s="102">
        <v>8</v>
      </c>
      <c r="I437" s="102">
        <v>9</v>
      </c>
      <c r="J437" s="102">
        <v>10</v>
      </c>
      <c r="K437" s="104">
        <v>11</v>
      </c>
      <c r="L437" s="102">
        <v>12</v>
      </c>
      <c r="M437" s="102">
        <v>13</v>
      </c>
      <c r="N437" s="102">
        <v>14</v>
      </c>
      <c r="O437" s="102">
        <v>15</v>
      </c>
      <c r="P437" s="102">
        <v>16</v>
      </c>
      <c r="Q437" s="102">
        <v>17</v>
      </c>
      <c r="R437" s="102">
        <v>18</v>
      </c>
      <c r="S437" s="105">
        <v>19</v>
      </c>
    </row>
    <row r="438" spans="1:19" s="39" customFormat="1" ht="12.75" hidden="1">
      <c r="A438" s="69">
        <v>1</v>
      </c>
      <c r="B438" s="70" t="s">
        <v>118</v>
      </c>
      <c r="C438" s="71" t="s">
        <v>52</v>
      </c>
      <c r="D438" s="72" t="str">
        <f>B$434</f>
        <v>услуга 26</v>
      </c>
      <c r="E438" s="71"/>
      <c r="F438" s="71">
        <f aca="true" t="shared" si="250" ref="F438:F447">ROUND(O438/18/4,2)</f>
        <v>0</v>
      </c>
      <c r="G438" s="71">
        <v>7570</v>
      </c>
      <c r="H438" s="73">
        <v>0.15</v>
      </c>
      <c r="I438" s="73">
        <v>0</v>
      </c>
      <c r="J438" s="71"/>
      <c r="K438" s="74">
        <f>(G438+G438*(H438+I438))*J438</f>
        <v>0</v>
      </c>
      <c r="L438" s="71">
        <f aca="true" t="shared" si="251" ref="L438:L447">18*25*4</f>
        <v>1800</v>
      </c>
      <c r="M438" s="71">
        <f>N438*O438</f>
        <v>0</v>
      </c>
      <c r="N438" s="71"/>
      <c r="O438" s="71"/>
      <c r="P438" s="75">
        <f>ROUND(K438/L438,2)</f>
        <v>0</v>
      </c>
      <c r="Q438" s="74">
        <f>N438*O438*P438</f>
        <v>0</v>
      </c>
      <c r="R438" s="74">
        <f>Q438*0.15</f>
        <v>0</v>
      </c>
      <c r="S438" s="76">
        <f>Q438+R438</f>
        <v>0</v>
      </c>
    </row>
    <row r="439" spans="1:19" s="39" customFormat="1" ht="12.75" hidden="1">
      <c r="A439" s="69">
        <v>2</v>
      </c>
      <c r="B439" s="70"/>
      <c r="C439" s="71" t="s">
        <v>52</v>
      </c>
      <c r="D439" s="72" t="str">
        <f aca="true" t="shared" si="252" ref="D439:D447">B$434</f>
        <v>услуга 26</v>
      </c>
      <c r="E439" s="71"/>
      <c r="F439" s="71">
        <f t="shared" si="250"/>
        <v>0</v>
      </c>
      <c r="G439" s="71">
        <v>7570</v>
      </c>
      <c r="H439" s="73">
        <f>H$24</f>
        <v>0</v>
      </c>
      <c r="I439" s="73">
        <v>0</v>
      </c>
      <c r="J439" s="71"/>
      <c r="K439" s="74">
        <f aca="true" t="shared" si="253" ref="K439:K447">(G439+G439*(H439+I439))*J439</f>
        <v>0</v>
      </c>
      <c r="L439" s="71">
        <f t="shared" si="251"/>
        <v>1800</v>
      </c>
      <c r="M439" s="71">
        <f aca="true" t="shared" si="254" ref="M439:M447">N439*O439</f>
        <v>0</v>
      </c>
      <c r="N439" s="71"/>
      <c r="O439" s="71"/>
      <c r="P439" s="75">
        <f aca="true" t="shared" si="255" ref="P439:P447">ROUND(K439/L439,2)</f>
        <v>0</v>
      </c>
      <c r="Q439" s="74">
        <f aca="true" t="shared" si="256" ref="Q439:Q447">N439*O439*P439</f>
        <v>0</v>
      </c>
      <c r="R439" s="74">
        <f aca="true" t="shared" si="257" ref="R439:R447">Q439*0.15</f>
        <v>0</v>
      </c>
      <c r="S439" s="76">
        <f aca="true" t="shared" si="258" ref="S439:S447">Q439+R439</f>
        <v>0</v>
      </c>
    </row>
    <row r="440" spans="1:19" s="39" customFormat="1" ht="12.75" hidden="1">
      <c r="A440" s="69">
        <v>3</v>
      </c>
      <c r="B440" s="70"/>
      <c r="C440" s="71" t="s">
        <v>52</v>
      </c>
      <c r="D440" s="72" t="str">
        <f t="shared" si="252"/>
        <v>услуга 26</v>
      </c>
      <c r="E440" s="71"/>
      <c r="F440" s="71">
        <f t="shared" si="250"/>
        <v>0</v>
      </c>
      <c r="G440" s="71">
        <v>7570</v>
      </c>
      <c r="H440" s="73">
        <f aca="true" t="shared" si="259" ref="H440:H447">H$24</f>
        <v>0</v>
      </c>
      <c r="I440" s="73"/>
      <c r="J440" s="71"/>
      <c r="K440" s="74">
        <f t="shared" si="253"/>
        <v>0</v>
      </c>
      <c r="L440" s="71">
        <f t="shared" si="251"/>
        <v>1800</v>
      </c>
      <c r="M440" s="71">
        <f t="shared" si="254"/>
        <v>0</v>
      </c>
      <c r="N440" s="71"/>
      <c r="O440" s="71"/>
      <c r="P440" s="75">
        <f t="shared" si="255"/>
        <v>0</v>
      </c>
      <c r="Q440" s="74">
        <f t="shared" si="256"/>
        <v>0</v>
      </c>
      <c r="R440" s="74">
        <f t="shared" si="257"/>
        <v>0</v>
      </c>
      <c r="S440" s="76">
        <f t="shared" si="258"/>
        <v>0</v>
      </c>
    </row>
    <row r="441" spans="1:19" s="39" customFormat="1" ht="12.75" hidden="1">
      <c r="A441" s="69">
        <v>4</v>
      </c>
      <c r="B441" s="70"/>
      <c r="C441" s="71" t="s">
        <v>52</v>
      </c>
      <c r="D441" s="72" t="str">
        <f t="shared" si="252"/>
        <v>услуга 26</v>
      </c>
      <c r="E441" s="71"/>
      <c r="F441" s="71">
        <f t="shared" si="250"/>
        <v>0</v>
      </c>
      <c r="G441" s="71">
        <v>7570</v>
      </c>
      <c r="H441" s="73">
        <f t="shared" si="259"/>
        <v>0</v>
      </c>
      <c r="I441" s="73"/>
      <c r="J441" s="71"/>
      <c r="K441" s="74">
        <f t="shared" si="253"/>
        <v>0</v>
      </c>
      <c r="L441" s="71">
        <f t="shared" si="251"/>
        <v>1800</v>
      </c>
      <c r="M441" s="71">
        <f t="shared" si="254"/>
        <v>0</v>
      </c>
      <c r="N441" s="71"/>
      <c r="O441" s="71"/>
      <c r="P441" s="75">
        <f t="shared" si="255"/>
        <v>0</v>
      </c>
      <c r="Q441" s="74">
        <f t="shared" si="256"/>
        <v>0</v>
      </c>
      <c r="R441" s="74">
        <f t="shared" si="257"/>
        <v>0</v>
      </c>
      <c r="S441" s="76">
        <f t="shared" si="258"/>
        <v>0</v>
      </c>
    </row>
    <row r="442" spans="1:19" s="39" customFormat="1" ht="12.75" hidden="1">
      <c r="A442" s="69">
        <v>5</v>
      </c>
      <c r="B442" s="70"/>
      <c r="C442" s="71" t="s">
        <v>52</v>
      </c>
      <c r="D442" s="72" t="str">
        <f t="shared" si="252"/>
        <v>услуга 26</v>
      </c>
      <c r="E442" s="71"/>
      <c r="F442" s="71">
        <f t="shared" si="250"/>
        <v>0</v>
      </c>
      <c r="G442" s="71">
        <v>7570</v>
      </c>
      <c r="H442" s="73">
        <f t="shared" si="259"/>
        <v>0</v>
      </c>
      <c r="I442" s="73"/>
      <c r="J442" s="71"/>
      <c r="K442" s="74">
        <f t="shared" si="253"/>
        <v>0</v>
      </c>
      <c r="L442" s="71">
        <f t="shared" si="251"/>
        <v>1800</v>
      </c>
      <c r="M442" s="71">
        <f t="shared" si="254"/>
        <v>0</v>
      </c>
      <c r="N442" s="71"/>
      <c r="O442" s="71"/>
      <c r="P442" s="75">
        <f t="shared" si="255"/>
        <v>0</v>
      </c>
      <c r="Q442" s="74">
        <f t="shared" si="256"/>
        <v>0</v>
      </c>
      <c r="R442" s="74">
        <f t="shared" si="257"/>
        <v>0</v>
      </c>
      <c r="S442" s="76">
        <f t="shared" si="258"/>
        <v>0</v>
      </c>
    </row>
    <row r="443" spans="1:19" s="39" customFormat="1" ht="12.75" hidden="1">
      <c r="A443" s="69">
        <v>6</v>
      </c>
      <c r="B443" s="70"/>
      <c r="C443" s="71" t="s">
        <v>52</v>
      </c>
      <c r="D443" s="72" t="str">
        <f t="shared" si="252"/>
        <v>услуга 26</v>
      </c>
      <c r="E443" s="71"/>
      <c r="F443" s="71">
        <f t="shared" si="250"/>
        <v>0</v>
      </c>
      <c r="G443" s="71">
        <v>7570</v>
      </c>
      <c r="H443" s="73">
        <f t="shared" si="259"/>
        <v>0</v>
      </c>
      <c r="I443" s="73"/>
      <c r="J443" s="71"/>
      <c r="K443" s="74">
        <f t="shared" si="253"/>
        <v>0</v>
      </c>
      <c r="L443" s="71">
        <f t="shared" si="251"/>
        <v>1800</v>
      </c>
      <c r="M443" s="71">
        <f t="shared" si="254"/>
        <v>0</v>
      </c>
      <c r="N443" s="71"/>
      <c r="O443" s="71"/>
      <c r="P443" s="75">
        <f t="shared" si="255"/>
        <v>0</v>
      </c>
      <c r="Q443" s="74">
        <f t="shared" si="256"/>
        <v>0</v>
      </c>
      <c r="R443" s="74">
        <f t="shared" si="257"/>
        <v>0</v>
      </c>
      <c r="S443" s="76">
        <f t="shared" si="258"/>
        <v>0</v>
      </c>
    </row>
    <row r="444" spans="1:19" s="39" customFormat="1" ht="12.75" hidden="1">
      <c r="A444" s="69">
        <v>7</v>
      </c>
      <c r="B444" s="70"/>
      <c r="C444" s="71" t="s">
        <v>52</v>
      </c>
      <c r="D444" s="72" t="str">
        <f t="shared" si="252"/>
        <v>услуга 26</v>
      </c>
      <c r="E444" s="71"/>
      <c r="F444" s="71">
        <f t="shared" si="250"/>
        <v>0</v>
      </c>
      <c r="G444" s="71">
        <v>7570</v>
      </c>
      <c r="H444" s="73">
        <f t="shared" si="259"/>
        <v>0</v>
      </c>
      <c r="I444" s="73"/>
      <c r="J444" s="71"/>
      <c r="K444" s="74">
        <f t="shared" si="253"/>
        <v>0</v>
      </c>
      <c r="L444" s="71">
        <f t="shared" si="251"/>
        <v>1800</v>
      </c>
      <c r="M444" s="71">
        <f t="shared" si="254"/>
        <v>0</v>
      </c>
      <c r="N444" s="71"/>
      <c r="O444" s="71"/>
      <c r="P444" s="75">
        <f t="shared" si="255"/>
        <v>0</v>
      </c>
      <c r="Q444" s="74">
        <f t="shared" si="256"/>
        <v>0</v>
      </c>
      <c r="R444" s="74">
        <f t="shared" si="257"/>
        <v>0</v>
      </c>
      <c r="S444" s="76">
        <f t="shared" si="258"/>
        <v>0</v>
      </c>
    </row>
    <row r="445" spans="1:19" s="39" customFormat="1" ht="12.75" hidden="1">
      <c r="A445" s="69">
        <v>8</v>
      </c>
      <c r="B445" s="70"/>
      <c r="C445" s="71" t="s">
        <v>52</v>
      </c>
      <c r="D445" s="72" t="str">
        <f t="shared" si="252"/>
        <v>услуга 26</v>
      </c>
      <c r="E445" s="71"/>
      <c r="F445" s="71">
        <f t="shared" si="250"/>
        <v>0</v>
      </c>
      <c r="G445" s="71">
        <v>7570</v>
      </c>
      <c r="H445" s="73">
        <f t="shared" si="259"/>
        <v>0</v>
      </c>
      <c r="I445" s="73"/>
      <c r="J445" s="71"/>
      <c r="K445" s="74">
        <f t="shared" si="253"/>
        <v>0</v>
      </c>
      <c r="L445" s="71">
        <f t="shared" si="251"/>
        <v>1800</v>
      </c>
      <c r="M445" s="71">
        <f t="shared" si="254"/>
        <v>0</v>
      </c>
      <c r="N445" s="71"/>
      <c r="O445" s="71"/>
      <c r="P445" s="75">
        <f t="shared" si="255"/>
        <v>0</v>
      </c>
      <c r="Q445" s="74">
        <f t="shared" si="256"/>
        <v>0</v>
      </c>
      <c r="R445" s="74">
        <f t="shared" si="257"/>
        <v>0</v>
      </c>
      <c r="S445" s="76">
        <f t="shared" si="258"/>
        <v>0</v>
      </c>
    </row>
    <row r="446" spans="1:19" s="39" customFormat="1" ht="12.75" hidden="1">
      <c r="A446" s="69">
        <v>9</v>
      </c>
      <c r="B446" s="70"/>
      <c r="C446" s="71" t="s">
        <v>52</v>
      </c>
      <c r="D446" s="72" t="str">
        <f t="shared" si="252"/>
        <v>услуга 26</v>
      </c>
      <c r="E446" s="71"/>
      <c r="F446" s="71">
        <f t="shared" si="250"/>
        <v>0</v>
      </c>
      <c r="G446" s="71">
        <v>7570</v>
      </c>
      <c r="H446" s="73">
        <f t="shared" si="259"/>
        <v>0</v>
      </c>
      <c r="I446" s="73"/>
      <c r="J446" s="71"/>
      <c r="K446" s="74">
        <f t="shared" si="253"/>
        <v>0</v>
      </c>
      <c r="L446" s="71">
        <f t="shared" si="251"/>
        <v>1800</v>
      </c>
      <c r="M446" s="71">
        <f t="shared" si="254"/>
        <v>0</v>
      </c>
      <c r="N446" s="71"/>
      <c r="O446" s="71"/>
      <c r="P446" s="75">
        <f t="shared" si="255"/>
        <v>0</v>
      </c>
      <c r="Q446" s="74">
        <f t="shared" si="256"/>
        <v>0</v>
      </c>
      <c r="R446" s="74">
        <f t="shared" si="257"/>
        <v>0</v>
      </c>
      <c r="S446" s="76">
        <f t="shared" si="258"/>
        <v>0</v>
      </c>
    </row>
    <row r="447" spans="1:19" s="39" customFormat="1" ht="12.75" hidden="1">
      <c r="A447" s="69">
        <v>10</v>
      </c>
      <c r="B447" s="70"/>
      <c r="C447" s="71" t="s">
        <v>52</v>
      </c>
      <c r="D447" s="72" t="str">
        <f t="shared" si="252"/>
        <v>услуга 26</v>
      </c>
      <c r="E447" s="71"/>
      <c r="F447" s="71">
        <f t="shared" si="250"/>
        <v>0</v>
      </c>
      <c r="G447" s="71">
        <v>7570</v>
      </c>
      <c r="H447" s="73">
        <f t="shared" si="259"/>
        <v>0</v>
      </c>
      <c r="I447" s="73"/>
      <c r="J447" s="71"/>
      <c r="K447" s="74">
        <f t="shared" si="253"/>
        <v>0</v>
      </c>
      <c r="L447" s="71">
        <f t="shared" si="251"/>
        <v>1800</v>
      </c>
      <c r="M447" s="71">
        <f t="shared" si="254"/>
        <v>0</v>
      </c>
      <c r="N447" s="71"/>
      <c r="O447" s="71"/>
      <c r="P447" s="75">
        <f t="shared" si="255"/>
        <v>0</v>
      </c>
      <c r="Q447" s="74">
        <f t="shared" si="256"/>
        <v>0</v>
      </c>
      <c r="R447" s="74">
        <f t="shared" si="257"/>
        <v>0</v>
      </c>
      <c r="S447" s="76">
        <f t="shared" si="258"/>
        <v>0</v>
      </c>
    </row>
    <row r="448" spans="1:19" s="39" customFormat="1" ht="13.5" hidden="1" thickBot="1">
      <c r="A448" s="113"/>
      <c r="B448" s="114"/>
      <c r="C448" s="114"/>
      <c r="D448" s="114" t="s">
        <v>53</v>
      </c>
      <c r="E448" s="114"/>
      <c r="F448" s="115">
        <f>SUM(F438:F447)</f>
        <v>0</v>
      </c>
      <c r="G448" s="114"/>
      <c r="H448" s="114"/>
      <c r="I448" s="114"/>
      <c r="J448" s="114"/>
      <c r="K448" s="116"/>
      <c r="L448" s="114"/>
      <c r="M448" s="117">
        <f>SUM(M438:M447)</f>
        <v>0</v>
      </c>
      <c r="N448" s="117">
        <f>SUM(N438:N447)</f>
        <v>0</v>
      </c>
      <c r="O448" s="117">
        <f>SUM(O438:O447)</f>
        <v>0</v>
      </c>
      <c r="P448" s="114"/>
      <c r="Q448" s="115">
        <f>SUM(Q438:Q447)</f>
        <v>0</v>
      </c>
      <c r="R448" s="115">
        <f>SUM(R438:R447)</f>
        <v>0</v>
      </c>
      <c r="S448" s="143">
        <f>SUM(S438:S447)</f>
        <v>0</v>
      </c>
    </row>
    <row r="449" spans="1:19" s="39" customFormat="1" ht="13.5" hidden="1" thickBot="1">
      <c r="A449" s="118"/>
      <c r="B449" s="92"/>
      <c r="C449" s="92"/>
      <c r="D449" s="92"/>
      <c r="E449" s="92"/>
      <c r="F449" s="93"/>
      <c r="G449" s="92"/>
      <c r="H449" s="92"/>
      <c r="I449" s="92"/>
      <c r="J449" s="92"/>
      <c r="K449" s="94"/>
      <c r="L449" s="92"/>
      <c r="M449" s="95"/>
      <c r="N449" s="95">
        <f>доходы!C37</f>
        <v>0</v>
      </c>
      <c r="O449" s="96" t="s">
        <v>116</v>
      </c>
      <c r="P449" s="119"/>
      <c r="Q449" s="120"/>
      <c r="R449" s="121"/>
      <c r="S449" s="136"/>
    </row>
    <row r="450" spans="1:20" s="39" customFormat="1" ht="13.5" thickBot="1">
      <c r="A450" s="535" t="s">
        <v>196</v>
      </c>
      <c r="B450" s="536"/>
      <c r="C450" s="536"/>
      <c r="D450" s="536"/>
      <c r="E450" s="536"/>
      <c r="F450" s="536"/>
      <c r="G450" s="536"/>
      <c r="H450" s="536"/>
      <c r="I450" s="536"/>
      <c r="J450" s="536"/>
      <c r="K450" s="536"/>
      <c r="L450" s="536"/>
      <c r="M450" s="536"/>
      <c r="N450" s="536"/>
      <c r="O450" s="536"/>
      <c r="P450" s="537"/>
      <c r="Q450" s="88">
        <f>Q34+Q50+Q66+Q96+Q112+Q128+Q144+Q160+Q176+Q192+Q208+Q224+Q240+Q256+Q272+Q288+Q304+Q320+Q336+Q352+Q368+Q384+Q400+Q416+Q432+Q448+Q73</f>
        <v>41336.4</v>
      </c>
      <c r="R450" s="88">
        <f>R34+R50+R66+R96+R112+R128+R144+R160+R176+R192+R208+R224+R240+R256+R272+R288+R304+R320+R336+R352+R368+R384+R400+R416+R432+R448+R73</f>
        <v>6200.46</v>
      </c>
      <c r="S450" s="88">
        <f>S34+S50+S66+S96+S112+S128+S144+S160+S176+S192+S208+S224+S240+S256+S272+S288+S304+S320+S336+S352+S368+S384+S400+S416+S432+S448+S73</f>
        <v>47536.86</v>
      </c>
      <c r="T450" s="42"/>
    </row>
    <row r="451" spans="1:21" s="39" customFormat="1" ht="13.5" thickBot="1">
      <c r="A451" s="538" t="s">
        <v>245</v>
      </c>
      <c r="B451" s="539"/>
      <c r="C451" s="539"/>
      <c r="D451" s="539"/>
      <c r="E451" s="539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40"/>
      <c r="Q451" s="116"/>
      <c r="R451" s="116"/>
      <c r="S451" s="145">
        <f>S450*1.302</f>
        <v>61892.99</v>
      </c>
      <c r="U451" s="42"/>
    </row>
    <row r="453" spans="1:19" ht="12.75">
      <c r="A453" s="534" t="s">
        <v>55</v>
      </c>
      <c r="B453" s="534"/>
      <c r="C453" s="534"/>
      <c r="D453" s="534"/>
      <c r="E453" s="534"/>
      <c r="F453" s="534"/>
      <c r="G453" s="534"/>
      <c r="H453" s="534"/>
      <c r="I453" s="534"/>
      <c r="J453" s="534"/>
      <c r="K453" s="534"/>
      <c r="L453" s="534"/>
      <c r="M453" s="534"/>
      <c r="N453" s="534"/>
      <c r="O453" s="534"/>
      <c r="P453" s="534"/>
      <c r="Q453" s="534"/>
      <c r="R453" s="534"/>
      <c r="S453" s="534"/>
    </row>
    <row r="454" spans="1:19" ht="12.75">
      <c r="A454" s="534" t="s">
        <v>243</v>
      </c>
      <c r="B454" s="534"/>
      <c r="C454" s="534"/>
      <c r="D454" s="534"/>
      <c r="E454" s="534"/>
      <c r="F454" s="534"/>
      <c r="G454" s="534"/>
      <c r="H454" s="534"/>
      <c r="I454" s="534"/>
      <c r="J454" s="534"/>
      <c r="K454" s="534"/>
      <c r="L454" s="534"/>
      <c r="M454" s="534"/>
      <c r="N454" s="534"/>
      <c r="O454" s="534"/>
      <c r="P454" s="534"/>
      <c r="Q454" s="534"/>
      <c r="R454" s="534"/>
      <c r="S454" s="534"/>
    </row>
    <row r="455" spans="1:19" ht="13.5" thickBo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52"/>
      <c r="L455" s="39"/>
      <c r="M455" s="39"/>
      <c r="N455" s="39"/>
      <c r="O455" s="39"/>
      <c r="P455" s="39"/>
      <c r="Q455" s="39"/>
      <c r="R455" s="39"/>
      <c r="S455" s="39"/>
    </row>
    <row r="456" spans="1:19" s="39" customFormat="1" ht="53.25" customHeight="1" thickBot="1">
      <c r="A456" s="54" t="s">
        <v>1</v>
      </c>
      <c r="B456" s="54" t="s">
        <v>2</v>
      </c>
      <c r="C456" s="373" t="s">
        <v>8</v>
      </c>
      <c r="D456" s="373" t="s">
        <v>3</v>
      </c>
      <c r="E456" s="373" t="s">
        <v>214</v>
      </c>
      <c r="F456" s="373" t="s">
        <v>215</v>
      </c>
      <c r="G456" s="373" t="s">
        <v>216</v>
      </c>
      <c r="H456" s="373"/>
      <c r="I456" s="373"/>
      <c r="J456" s="373" t="s">
        <v>213</v>
      </c>
      <c r="K456" s="374" t="s">
        <v>66</v>
      </c>
      <c r="L456" s="373" t="s">
        <v>67</v>
      </c>
      <c r="M456" s="373" t="s">
        <v>6</v>
      </c>
      <c r="N456" s="373" t="s">
        <v>54</v>
      </c>
      <c r="O456" s="373" t="s">
        <v>7</v>
      </c>
      <c r="P456" s="373" t="s">
        <v>48</v>
      </c>
      <c r="Q456" s="373" t="s">
        <v>49</v>
      </c>
      <c r="R456" s="373" t="s">
        <v>50</v>
      </c>
      <c r="S456" s="373" t="s">
        <v>51</v>
      </c>
    </row>
    <row r="457" spans="1:19" s="39" customFormat="1" ht="15.75" customHeight="1" thickBot="1">
      <c r="A457" s="56">
        <v>1</v>
      </c>
      <c r="B457" s="57">
        <v>2</v>
      </c>
      <c r="C457" s="57">
        <v>3</v>
      </c>
      <c r="D457" s="57">
        <v>4</v>
      </c>
      <c r="E457" s="57">
        <v>5</v>
      </c>
      <c r="F457" s="57">
        <v>6</v>
      </c>
      <c r="G457" s="57">
        <v>7</v>
      </c>
      <c r="H457" s="57"/>
      <c r="I457" s="57"/>
      <c r="J457" s="57">
        <v>8</v>
      </c>
      <c r="K457" s="58">
        <v>9</v>
      </c>
      <c r="L457" s="57">
        <v>10</v>
      </c>
      <c r="M457" s="57">
        <v>11</v>
      </c>
      <c r="N457" s="57">
        <v>12</v>
      </c>
      <c r="O457" s="57">
        <v>13</v>
      </c>
      <c r="P457" s="57">
        <v>14</v>
      </c>
      <c r="Q457" s="57">
        <v>15</v>
      </c>
      <c r="R457" s="57">
        <v>16</v>
      </c>
      <c r="S457" s="59">
        <v>17</v>
      </c>
    </row>
    <row r="458" spans="1:19" s="68" customFormat="1" ht="15.75" customHeight="1" hidden="1" thickTop="1">
      <c r="A458" s="60"/>
      <c r="B458" s="63"/>
      <c r="C458" s="63"/>
      <c r="D458" s="63" t="s">
        <v>9</v>
      </c>
      <c r="E458" s="63">
        <f>ROUND(O458/18/4,2)</f>
        <v>0</v>
      </c>
      <c r="F458" s="63"/>
      <c r="G458" s="110">
        <f>E458*F458</f>
        <v>0</v>
      </c>
      <c r="H458" s="65"/>
      <c r="I458" s="65"/>
      <c r="J458" s="63"/>
      <c r="K458" s="65"/>
      <c r="L458" s="63"/>
      <c r="M458" s="63"/>
      <c r="N458" s="63"/>
      <c r="O458" s="63"/>
      <c r="P458" s="63"/>
      <c r="Q458" s="65">
        <f>G458</f>
        <v>0</v>
      </c>
      <c r="R458" s="65">
        <f>Q458*0.15</f>
        <v>0</v>
      </c>
      <c r="S458" s="67">
        <f>Q458+R458</f>
        <v>0</v>
      </c>
    </row>
    <row r="459" spans="1:19" s="68" customFormat="1" ht="42" customHeight="1" thickTop="1">
      <c r="A459" s="146">
        <v>1</v>
      </c>
      <c r="B459" s="106" t="s">
        <v>244</v>
      </c>
      <c r="C459" s="107" t="s">
        <v>181</v>
      </c>
      <c r="D459" s="106" t="s">
        <v>9</v>
      </c>
      <c r="E459" s="106">
        <v>1</v>
      </c>
      <c r="F459" s="106">
        <v>7500</v>
      </c>
      <c r="G459" s="110">
        <f>E459*F459</f>
        <v>7500</v>
      </c>
      <c r="H459" s="110"/>
      <c r="I459" s="110"/>
      <c r="J459" s="106"/>
      <c r="K459" s="110"/>
      <c r="L459" s="106"/>
      <c r="M459" s="106"/>
      <c r="N459" s="106"/>
      <c r="O459" s="106"/>
      <c r="P459" s="106"/>
      <c r="Q459" s="110">
        <f>E459*F459</f>
        <v>7500</v>
      </c>
      <c r="R459" s="110">
        <f>Q459*0.15</f>
        <v>1125</v>
      </c>
      <c r="S459" s="147">
        <f>Q459+R459</f>
        <v>8625</v>
      </c>
    </row>
    <row r="460" spans="1:19" ht="12.75" customHeight="1" hidden="1">
      <c r="A460" s="69">
        <v>2</v>
      </c>
      <c r="B460" s="71"/>
      <c r="C460" s="71"/>
      <c r="D460" s="71"/>
      <c r="E460" s="71"/>
      <c r="F460" s="71"/>
      <c r="G460" s="74"/>
      <c r="H460" s="74"/>
      <c r="I460" s="74"/>
      <c r="J460" s="71"/>
      <c r="K460" s="74"/>
      <c r="L460" s="71"/>
      <c r="M460" s="71"/>
      <c r="N460" s="71"/>
      <c r="O460" s="71"/>
      <c r="P460" s="71"/>
      <c r="Q460" s="74">
        <f>G460/2</f>
        <v>0</v>
      </c>
      <c r="R460" s="74">
        <f>Q460*0.15</f>
        <v>0</v>
      </c>
      <c r="S460" s="76">
        <f>Q460+R460</f>
        <v>0</v>
      </c>
    </row>
    <row r="461" spans="1:19" ht="12.75" customHeight="1" hidden="1">
      <c r="A461" s="69">
        <v>4</v>
      </c>
      <c r="B461" s="71"/>
      <c r="C461" s="71" t="s">
        <v>142</v>
      </c>
      <c r="D461" s="71" t="s">
        <v>9</v>
      </c>
      <c r="E461" s="71"/>
      <c r="F461" s="71"/>
      <c r="G461" s="74"/>
      <c r="H461" s="74"/>
      <c r="I461" s="74"/>
      <c r="J461" s="71"/>
      <c r="K461" s="74"/>
      <c r="L461" s="71"/>
      <c r="M461" s="71"/>
      <c r="N461" s="71"/>
      <c r="O461" s="71"/>
      <c r="P461" s="71"/>
      <c r="Q461" s="74">
        <f aca="true" t="shared" si="260" ref="Q461:Q467">G461</f>
        <v>0</v>
      </c>
      <c r="R461" s="74">
        <f aca="true" t="shared" si="261" ref="R461:R467">Q461*0.15</f>
        <v>0</v>
      </c>
      <c r="S461" s="76">
        <f aca="true" t="shared" si="262" ref="S461:S467">Q461+R461</f>
        <v>0</v>
      </c>
    </row>
    <row r="462" spans="1:19" ht="12.75" customHeight="1" hidden="1">
      <c r="A462" s="69">
        <v>5</v>
      </c>
      <c r="B462" s="71"/>
      <c r="C462" s="71" t="s">
        <v>143</v>
      </c>
      <c r="D462" s="71" t="s">
        <v>9</v>
      </c>
      <c r="E462" s="71"/>
      <c r="F462" s="71"/>
      <c r="G462" s="74"/>
      <c r="H462" s="74"/>
      <c r="I462" s="74"/>
      <c r="J462" s="71"/>
      <c r="K462" s="74"/>
      <c r="L462" s="71"/>
      <c r="M462" s="71"/>
      <c r="N462" s="71"/>
      <c r="O462" s="71"/>
      <c r="P462" s="71"/>
      <c r="Q462" s="74">
        <f t="shared" si="260"/>
        <v>0</v>
      </c>
      <c r="R462" s="74">
        <f t="shared" si="261"/>
        <v>0</v>
      </c>
      <c r="S462" s="76">
        <f t="shared" si="262"/>
        <v>0</v>
      </c>
    </row>
    <row r="463" spans="1:19" ht="12.75" customHeight="1" hidden="1">
      <c r="A463" s="69">
        <v>6</v>
      </c>
      <c r="B463" s="71"/>
      <c r="C463" s="71" t="s">
        <v>144</v>
      </c>
      <c r="D463" s="71" t="s">
        <v>9</v>
      </c>
      <c r="E463" s="71"/>
      <c r="F463" s="71"/>
      <c r="G463" s="74"/>
      <c r="H463" s="74"/>
      <c r="I463" s="74"/>
      <c r="J463" s="71"/>
      <c r="K463" s="74"/>
      <c r="L463" s="71"/>
      <c r="M463" s="71"/>
      <c r="N463" s="71"/>
      <c r="O463" s="71"/>
      <c r="P463" s="71"/>
      <c r="Q463" s="74">
        <f t="shared" si="260"/>
        <v>0</v>
      </c>
      <c r="R463" s="74">
        <f t="shared" si="261"/>
        <v>0</v>
      </c>
      <c r="S463" s="76">
        <f t="shared" si="262"/>
        <v>0</v>
      </c>
    </row>
    <row r="464" spans="1:19" ht="12.75" customHeight="1" hidden="1">
      <c r="A464" s="69">
        <v>7</v>
      </c>
      <c r="B464" s="71"/>
      <c r="C464" s="71" t="s">
        <v>145</v>
      </c>
      <c r="D464" s="71" t="s">
        <v>9</v>
      </c>
      <c r="E464" s="71"/>
      <c r="F464" s="71"/>
      <c r="G464" s="74"/>
      <c r="H464" s="74"/>
      <c r="I464" s="74"/>
      <c r="J464" s="71"/>
      <c r="K464" s="74"/>
      <c r="L464" s="71"/>
      <c r="M464" s="71"/>
      <c r="N464" s="71"/>
      <c r="O464" s="71"/>
      <c r="P464" s="71"/>
      <c r="Q464" s="74">
        <f t="shared" si="260"/>
        <v>0</v>
      </c>
      <c r="R464" s="74">
        <f t="shared" si="261"/>
        <v>0</v>
      </c>
      <c r="S464" s="76">
        <f t="shared" si="262"/>
        <v>0</v>
      </c>
    </row>
    <row r="465" spans="1:19" ht="12.75" customHeight="1" hidden="1">
      <c r="A465" s="69">
        <v>8</v>
      </c>
      <c r="B465" s="71"/>
      <c r="C465" s="71" t="s">
        <v>146</v>
      </c>
      <c r="D465" s="71" t="s">
        <v>9</v>
      </c>
      <c r="E465" s="71"/>
      <c r="F465" s="71"/>
      <c r="G465" s="74"/>
      <c r="H465" s="74"/>
      <c r="I465" s="74"/>
      <c r="J465" s="71"/>
      <c r="K465" s="74"/>
      <c r="L465" s="71"/>
      <c r="M465" s="71"/>
      <c r="N465" s="71"/>
      <c r="O465" s="71"/>
      <c r="P465" s="71"/>
      <c r="Q465" s="74">
        <f t="shared" si="260"/>
        <v>0</v>
      </c>
      <c r="R465" s="74">
        <f t="shared" si="261"/>
        <v>0</v>
      </c>
      <c r="S465" s="76">
        <f t="shared" si="262"/>
        <v>0</v>
      </c>
    </row>
    <row r="466" spans="1:19" ht="12.75" customHeight="1" hidden="1">
      <c r="A466" s="69">
        <v>9</v>
      </c>
      <c r="B466" s="71"/>
      <c r="C466" s="71" t="s">
        <v>147</v>
      </c>
      <c r="D466" s="71" t="s">
        <v>9</v>
      </c>
      <c r="E466" s="71"/>
      <c r="F466" s="71"/>
      <c r="G466" s="74"/>
      <c r="H466" s="74"/>
      <c r="I466" s="74"/>
      <c r="J466" s="71"/>
      <c r="K466" s="74"/>
      <c r="L466" s="71"/>
      <c r="M466" s="71"/>
      <c r="N466" s="71"/>
      <c r="O466" s="71"/>
      <c r="P466" s="71"/>
      <c r="Q466" s="74">
        <f t="shared" si="260"/>
        <v>0</v>
      </c>
      <c r="R466" s="74">
        <f t="shared" si="261"/>
        <v>0</v>
      </c>
      <c r="S466" s="76">
        <f t="shared" si="262"/>
        <v>0</v>
      </c>
    </row>
    <row r="467" spans="1:19" ht="12.75" customHeight="1" hidden="1">
      <c r="A467" s="69">
        <v>10</v>
      </c>
      <c r="B467" s="71"/>
      <c r="C467" s="71" t="s">
        <v>148</v>
      </c>
      <c r="D467" s="71" t="s">
        <v>9</v>
      </c>
      <c r="E467" s="71"/>
      <c r="F467" s="71"/>
      <c r="G467" s="74"/>
      <c r="H467" s="74"/>
      <c r="I467" s="74"/>
      <c r="J467" s="71"/>
      <c r="K467" s="74"/>
      <c r="L467" s="71"/>
      <c r="M467" s="71"/>
      <c r="N467" s="71"/>
      <c r="O467" s="71"/>
      <c r="P467" s="71"/>
      <c r="Q467" s="74">
        <f t="shared" si="260"/>
        <v>0</v>
      </c>
      <c r="R467" s="74">
        <f t="shared" si="261"/>
        <v>0</v>
      </c>
      <c r="S467" s="76">
        <f t="shared" si="262"/>
        <v>0</v>
      </c>
    </row>
    <row r="468" spans="1:19" s="39" customFormat="1" ht="13.5" thickBot="1">
      <c r="A468" s="113"/>
      <c r="B468" s="114"/>
      <c r="C468" s="114"/>
      <c r="D468" s="114" t="s">
        <v>53</v>
      </c>
      <c r="E468" s="114"/>
      <c r="F468" s="114">
        <f>SUM(F458:F467)</f>
        <v>7500</v>
      </c>
      <c r="G468" s="116">
        <f>SUM(G458:G467)</f>
        <v>7500</v>
      </c>
      <c r="H468" s="114"/>
      <c r="I468" s="114"/>
      <c r="J468" s="114"/>
      <c r="K468" s="116"/>
      <c r="L468" s="114"/>
      <c r="M468" s="114"/>
      <c r="N468" s="114"/>
      <c r="O468" s="114"/>
      <c r="P468" s="114"/>
      <c r="Q468" s="116">
        <f>SUM(Q458:Q467)</f>
        <v>7500</v>
      </c>
      <c r="R468" s="116">
        <f>SUM(R458:R467)</f>
        <v>1125</v>
      </c>
      <c r="S468" s="145">
        <f>SUM(S458:S467)</f>
        <v>8625</v>
      </c>
    </row>
    <row r="469" spans="1:19" ht="13.5" thickBot="1">
      <c r="A469" s="142"/>
      <c r="B469" s="139"/>
      <c r="C469" s="139"/>
      <c r="D469" s="139"/>
      <c r="E469" s="139"/>
      <c r="F469" s="139"/>
      <c r="G469" s="139"/>
      <c r="H469" s="139"/>
      <c r="I469" s="139"/>
      <c r="J469" s="139"/>
      <c r="K469" s="140"/>
      <c r="L469" s="139"/>
      <c r="M469" s="139"/>
      <c r="N469" s="139"/>
      <c r="O469" s="139"/>
      <c r="P469" s="139"/>
      <c r="Q469" s="140"/>
      <c r="R469" s="140"/>
      <c r="S469" s="148"/>
    </row>
    <row r="470" spans="1:19" s="39" customFormat="1" ht="13.5" thickBot="1">
      <c r="A470" s="535" t="s">
        <v>197</v>
      </c>
      <c r="B470" s="536"/>
      <c r="C470" s="536"/>
      <c r="D470" s="536"/>
      <c r="E470" s="536"/>
      <c r="F470" s="536"/>
      <c r="G470" s="536"/>
      <c r="H470" s="536"/>
      <c r="I470" s="536"/>
      <c r="J470" s="536"/>
      <c r="K470" s="536"/>
      <c r="L470" s="536"/>
      <c r="M470" s="536"/>
      <c r="N470" s="536"/>
      <c r="O470" s="536"/>
      <c r="P470" s="537"/>
      <c r="Q470" s="88">
        <f>Q468</f>
        <v>7500</v>
      </c>
      <c r="R470" s="88">
        <f>R468</f>
        <v>1125</v>
      </c>
      <c r="S470" s="144">
        <f>S468</f>
        <v>8625</v>
      </c>
    </row>
    <row r="471" spans="1:19" s="39" customFormat="1" ht="13.5" thickBot="1">
      <c r="A471" s="535" t="s">
        <v>198</v>
      </c>
      <c r="B471" s="536"/>
      <c r="C471" s="536"/>
      <c r="D471" s="536"/>
      <c r="E471" s="536"/>
      <c r="F471" s="536"/>
      <c r="G471" s="536"/>
      <c r="H471" s="536"/>
      <c r="I471" s="536"/>
      <c r="J471" s="536"/>
      <c r="K471" s="536"/>
      <c r="L471" s="536"/>
      <c r="M471" s="536"/>
      <c r="N471" s="536"/>
      <c r="O471" s="536"/>
      <c r="P471" s="537"/>
      <c r="Q471" s="116"/>
      <c r="R471" s="116"/>
      <c r="S471" s="145">
        <f>S470*1.302</f>
        <v>11229.75</v>
      </c>
    </row>
    <row r="472" spans="1:20" s="39" customFormat="1" ht="13.5" thickBot="1">
      <c r="A472" s="535" t="s">
        <v>56</v>
      </c>
      <c r="B472" s="536"/>
      <c r="C472" s="536"/>
      <c r="D472" s="536"/>
      <c r="E472" s="536"/>
      <c r="F472" s="536"/>
      <c r="G472" s="536"/>
      <c r="H472" s="536"/>
      <c r="I472" s="536"/>
      <c r="J472" s="536"/>
      <c r="K472" s="536"/>
      <c r="L472" s="536"/>
      <c r="M472" s="536"/>
      <c r="N472" s="536"/>
      <c r="O472" s="536"/>
      <c r="P472" s="537"/>
      <c r="Q472" s="116"/>
      <c r="R472" s="116"/>
      <c r="S472" s="145">
        <f>S471/S451*100</f>
        <v>18.14</v>
      </c>
      <c r="T472" s="41" t="s">
        <v>185</v>
      </c>
    </row>
    <row r="473" spans="1:19" ht="13.5" thickBot="1">
      <c r="A473" s="142"/>
      <c r="B473" s="139"/>
      <c r="C473" s="139"/>
      <c r="D473" s="139"/>
      <c r="E473" s="139"/>
      <c r="F473" s="139"/>
      <c r="G473" s="139"/>
      <c r="H473" s="139"/>
      <c r="I473" s="139"/>
      <c r="J473" s="139"/>
      <c r="K473" s="140"/>
      <c r="L473" s="139"/>
      <c r="M473" s="139"/>
      <c r="N473" s="139"/>
      <c r="O473" s="139"/>
      <c r="P473" s="139"/>
      <c r="Q473" s="140"/>
      <c r="R473" s="140"/>
      <c r="S473" s="148"/>
    </row>
    <row r="474" spans="1:19" s="39" customFormat="1" ht="13.5" thickBot="1">
      <c r="A474" s="535" t="s">
        <v>199</v>
      </c>
      <c r="B474" s="536"/>
      <c r="C474" s="536"/>
      <c r="D474" s="536"/>
      <c r="E474" s="536"/>
      <c r="F474" s="536"/>
      <c r="G474" s="536"/>
      <c r="H474" s="536"/>
      <c r="I474" s="536"/>
      <c r="J474" s="536"/>
      <c r="K474" s="536"/>
      <c r="L474" s="536"/>
      <c r="M474" s="536"/>
      <c r="N474" s="536"/>
      <c r="O474" s="536"/>
      <c r="P474" s="537"/>
      <c r="Q474" s="88">
        <f>Q450+Q470</f>
        <v>48836.4</v>
      </c>
      <c r="R474" s="88">
        <f>R450+R470</f>
        <v>7325.46</v>
      </c>
      <c r="S474" s="144">
        <f>S450+S470</f>
        <v>56161.86</v>
      </c>
    </row>
    <row r="475" spans="1:19" s="39" customFormat="1" ht="13.5" thickBot="1">
      <c r="A475" s="535" t="s">
        <v>200</v>
      </c>
      <c r="B475" s="536"/>
      <c r="C475" s="536"/>
      <c r="D475" s="536"/>
      <c r="E475" s="536"/>
      <c r="F475" s="536"/>
      <c r="G475" s="536"/>
      <c r="H475" s="536"/>
      <c r="I475" s="536"/>
      <c r="J475" s="536"/>
      <c r="K475" s="536"/>
      <c r="L475" s="536"/>
      <c r="M475" s="536"/>
      <c r="N475" s="536"/>
      <c r="O475" s="536"/>
      <c r="P475" s="537"/>
      <c r="Q475" s="116">
        <f>Q474/80*20</f>
        <v>12209.1</v>
      </c>
      <c r="R475" s="116">
        <f>R474/80*20</f>
        <v>1831.37</v>
      </c>
      <c r="S475" s="116">
        <f>S474/80*20</f>
        <v>14040.47</v>
      </c>
    </row>
    <row r="476" spans="1:19" s="39" customFormat="1" ht="13.5" thickBot="1">
      <c r="A476" s="535" t="s">
        <v>56</v>
      </c>
      <c r="B476" s="536"/>
      <c r="C476" s="536"/>
      <c r="D476" s="536"/>
      <c r="E476" s="536"/>
      <c r="F476" s="536"/>
      <c r="G476" s="536"/>
      <c r="H476" s="536"/>
      <c r="I476" s="536"/>
      <c r="J476" s="536"/>
      <c r="K476" s="536"/>
      <c r="L476" s="536"/>
      <c r="M476" s="536"/>
      <c r="N476" s="536"/>
      <c r="O476" s="536"/>
      <c r="P476" s="537"/>
      <c r="Q476" s="116"/>
      <c r="R476" s="116"/>
      <c r="S476" s="145">
        <f>Q475/Q474*100</f>
        <v>25</v>
      </c>
    </row>
    <row r="477" spans="1:19" s="39" customFormat="1" ht="13.5" thickBot="1">
      <c r="A477" s="535" t="s">
        <v>201</v>
      </c>
      <c r="B477" s="536"/>
      <c r="C477" s="536"/>
      <c r="D477" s="536"/>
      <c r="E477" s="536"/>
      <c r="F477" s="536"/>
      <c r="G477" s="536"/>
      <c r="H477" s="536"/>
      <c r="I477" s="536"/>
      <c r="J477" s="536"/>
      <c r="K477" s="536"/>
      <c r="L477" s="536"/>
      <c r="M477" s="536"/>
      <c r="N477" s="536"/>
      <c r="O477" s="536"/>
      <c r="P477" s="537"/>
      <c r="Q477" s="116">
        <f>(Q450+Q450*S476%)/29.3*42/12+(Q470+Q470*S476%)/29.3*28/12</f>
        <v>6918.83</v>
      </c>
      <c r="R477" s="116">
        <f>Q477*0.15</f>
        <v>1037.82</v>
      </c>
      <c r="S477" s="145">
        <f>Q477+R477</f>
        <v>7956.65</v>
      </c>
    </row>
    <row r="478" spans="1:19" s="39" customFormat="1" ht="13.5" thickBot="1">
      <c r="A478" s="535" t="s">
        <v>202</v>
      </c>
      <c r="B478" s="536"/>
      <c r="C478" s="536"/>
      <c r="D478" s="536"/>
      <c r="E478" s="536"/>
      <c r="F478" s="536"/>
      <c r="G478" s="536"/>
      <c r="H478" s="536"/>
      <c r="I478" s="536"/>
      <c r="J478" s="536"/>
      <c r="K478" s="536"/>
      <c r="L478" s="536"/>
      <c r="M478" s="536"/>
      <c r="N478" s="536"/>
      <c r="O478" s="536"/>
      <c r="P478" s="537"/>
      <c r="Q478" s="116">
        <f>Q474+Q475+Q477</f>
        <v>67964.33</v>
      </c>
      <c r="R478" s="116">
        <f>R474+R475+R477</f>
        <v>10194.65</v>
      </c>
      <c r="S478" s="145">
        <f>S474+S475+S477</f>
        <v>78158.98</v>
      </c>
    </row>
    <row r="479" spans="1:20" s="39" customFormat="1" ht="13.5" thickBot="1">
      <c r="A479" s="535" t="s">
        <v>203</v>
      </c>
      <c r="B479" s="536"/>
      <c r="C479" s="536"/>
      <c r="D479" s="536"/>
      <c r="E479" s="536"/>
      <c r="F479" s="536"/>
      <c r="G479" s="536"/>
      <c r="H479" s="536"/>
      <c r="I479" s="536"/>
      <c r="J479" s="536"/>
      <c r="K479" s="536"/>
      <c r="L479" s="536"/>
      <c r="M479" s="536"/>
      <c r="N479" s="536"/>
      <c r="O479" s="536"/>
      <c r="P479" s="537"/>
      <c r="Q479" s="116"/>
      <c r="R479" s="116"/>
      <c r="S479" s="145">
        <f>S478*1.302</f>
        <v>101762.99</v>
      </c>
      <c r="T479" s="52"/>
    </row>
    <row r="480" spans="1:19" s="39" customFormat="1" ht="13.5" thickBot="1">
      <c r="A480" s="535" t="s">
        <v>204</v>
      </c>
      <c r="B480" s="536"/>
      <c r="C480" s="536"/>
      <c r="D480" s="536"/>
      <c r="E480" s="536"/>
      <c r="F480" s="536"/>
      <c r="G480" s="536"/>
      <c r="H480" s="536"/>
      <c r="I480" s="536"/>
      <c r="J480" s="536"/>
      <c r="K480" s="536"/>
      <c r="L480" s="536"/>
      <c r="M480" s="536"/>
      <c r="N480" s="536"/>
      <c r="O480" s="536"/>
      <c r="P480" s="537"/>
      <c r="Q480" s="116"/>
      <c r="R480" s="116"/>
      <c r="S480" s="145">
        <f>'расчет%'!G43</f>
        <v>140000</v>
      </c>
    </row>
    <row r="481" spans="1:20" s="39" customFormat="1" ht="13.5" thickBot="1">
      <c r="A481" s="535" t="s">
        <v>56</v>
      </c>
      <c r="B481" s="536"/>
      <c r="C481" s="536"/>
      <c r="D481" s="536"/>
      <c r="E481" s="536"/>
      <c r="F481" s="536"/>
      <c r="G481" s="536"/>
      <c r="H481" s="536"/>
      <c r="I481" s="536"/>
      <c r="J481" s="536"/>
      <c r="K481" s="536"/>
      <c r="L481" s="536"/>
      <c r="M481" s="536"/>
      <c r="N481" s="536"/>
      <c r="O481" s="536"/>
      <c r="P481" s="537"/>
      <c r="Q481" s="116"/>
      <c r="R481" s="116"/>
      <c r="S481" s="145">
        <f>S479/S480*100</f>
        <v>72.69</v>
      </c>
      <c r="T481" s="41" t="s">
        <v>141</v>
      </c>
    </row>
    <row r="482" spans="1:19" s="39" customFormat="1" ht="12.7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50"/>
      <c r="L482" s="149"/>
      <c r="M482" s="149"/>
      <c r="N482" s="149"/>
      <c r="O482" s="149"/>
      <c r="P482" s="149"/>
      <c r="Q482" s="93"/>
      <c r="R482" s="93"/>
      <c r="S482" s="93"/>
    </row>
    <row r="483" spans="1:19" s="39" customFormat="1" ht="12.7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50"/>
      <c r="L483" s="149"/>
      <c r="M483" s="149"/>
      <c r="N483" s="149"/>
      <c r="O483" s="149"/>
      <c r="P483" s="149"/>
      <c r="Q483" s="93"/>
      <c r="R483" s="93"/>
      <c r="S483" s="93"/>
    </row>
    <row r="484" spans="1:19" s="39" customFormat="1" ht="12.7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50"/>
      <c r="L484" s="149"/>
      <c r="M484" s="149"/>
      <c r="N484" s="149"/>
      <c r="O484" s="149"/>
      <c r="P484" s="149"/>
      <c r="Q484" s="93"/>
      <c r="R484" s="93"/>
      <c r="S484" s="93"/>
    </row>
    <row r="485" spans="1:19" s="39" customFormat="1" ht="12.7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50"/>
      <c r="L485" s="149"/>
      <c r="M485" s="149"/>
      <c r="N485" s="149"/>
      <c r="O485" s="149"/>
      <c r="P485" s="149"/>
      <c r="Q485" s="93"/>
      <c r="R485" s="93"/>
      <c r="S485" s="93"/>
    </row>
    <row r="486" spans="1:19" s="39" customFormat="1" ht="12.7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50"/>
      <c r="L486" s="149"/>
      <c r="M486" s="149"/>
      <c r="N486" s="149"/>
      <c r="O486" s="149"/>
      <c r="P486" s="149"/>
      <c r="Q486" s="93"/>
      <c r="R486" s="93"/>
      <c r="S486" s="93"/>
    </row>
    <row r="487" spans="1:19" s="39" customFormat="1" ht="12.7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50"/>
      <c r="L487" s="149"/>
      <c r="M487" s="149"/>
      <c r="N487" s="149"/>
      <c r="O487" s="149"/>
      <c r="P487" s="149"/>
      <c r="Q487" s="93"/>
      <c r="R487" s="93"/>
      <c r="S487" s="93"/>
    </row>
    <row r="488" spans="1:19" s="39" customFormat="1" ht="12.7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50"/>
      <c r="L488" s="149"/>
      <c r="M488" s="149"/>
      <c r="N488" s="149"/>
      <c r="O488" s="149"/>
      <c r="P488" s="149"/>
      <c r="Q488" s="93"/>
      <c r="R488" s="93"/>
      <c r="S488" s="93"/>
    </row>
    <row r="489" spans="1:19" s="39" customFormat="1" ht="12.7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50"/>
      <c r="L489" s="149"/>
      <c r="M489" s="149"/>
      <c r="N489" s="149"/>
      <c r="O489" s="149"/>
      <c r="P489" s="149"/>
      <c r="Q489" s="93"/>
      <c r="R489" s="93"/>
      <c r="S489" s="93"/>
    </row>
    <row r="490" spans="1:19" s="39" customFormat="1" ht="12.7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50"/>
      <c r="L490" s="149"/>
      <c r="M490" s="149"/>
      <c r="N490" s="149"/>
      <c r="O490" s="149"/>
      <c r="P490" s="149"/>
      <c r="Q490" s="93"/>
      <c r="R490" s="93"/>
      <c r="S490" s="93"/>
    </row>
    <row r="491" spans="1:19" s="39" customFormat="1" ht="12.7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50"/>
      <c r="L491" s="149"/>
      <c r="M491" s="149"/>
      <c r="N491" s="149"/>
      <c r="O491" s="149"/>
      <c r="P491" s="149"/>
      <c r="Q491" s="93"/>
      <c r="R491" s="93"/>
      <c r="S491" s="93"/>
    </row>
    <row r="492" spans="1:19" s="39" customFormat="1" ht="12.7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50"/>
      <c r="L492" s="149"/>
      <c r="M492" s="149"/>
      <c r="N492" s="149"/>
      <c r="O492" s="149"/>
      <c r="P492" s="149"/>
      <c r="Q492" s="93"/>
      <c r="R492" s="93"/>
      <c r="S492" s="93"/>
    </row>
    <row r="493" spans="1:19" s="39" customFormat="1" ht="12.7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50"/>
      <c r="L493" s="149"/>
      <c r="M493" s="149"/>
      <c r="N493" s="149"/>
      <c r="O493" s="149"/>
      <c r="P493" s="149"/>
      <c r="Q493" s="93"/>
      <c r="R493" s="93"/>
      <c r="S493" s="93"/>
    </row>
  </sheetData>
  <sheetProtection/>
  <mergeCells count="21">
    <mergeCell ref="A476:P476"/>
    <mergeCell ref="A477:P477"/>
    <mergeCell ref="A9:S9"/>
    <mergeCell ref="A451:P451"/>
    <mergeCell ref="A470:P470"/>
    <mergeCell ref="A7:S7"/>
    <mergeCell ref="A481:P481"/>
    <mergeCell ref="A472:P472"/>
    <mergeCell ref="A474:P474"/>
    <mergeCell ref="A454:S454"/>
    <mergeCell ref="A478:P478"/>
    <mergeCell ref="A6:S6"/>
    <mergeCell ref="A475:P475"/>
    <mergeCell ref="A450:P450"/>
    <mergeCell ref="A479:P479"/>
    <mergeCell ref="A480:P480"/>
    <mergeCell ref="F3:G3"/>
    <mergeCell ref="A471:P471"/>
    <mergeCell ref="A453:S453"/>
    <mergeCell ref="A5:S5"/>
    <mergeCell ref="A10:S10"/>
  </mergeCells>
  <printOptions/>
  <pageMargins left="0" right="0" top="0.29" bottom="0.31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F60" sqref="F60"/>
    </sheetView>
  </sheetViews>
  <sheetFormatPr defaultColWidth="9.00390625" defaultRowHeight="12.75"/>
  <cols>
    <col min="1" max="1" width="16.25390625" style="151" customWidth="1"/>
    <col min="2" max="2" width="43.75390625" style="151" customWidth="1"/>
    <col min="3" max="3" width="16.625" style="151" customWidth="1"/>
    <col min="4" max="4" width="17.375" style="151" customWidth="1"/>
    <col min="5" max="5" width="18.75390625" style="151" customWidth="1"/>
    <col min="6" max="6" width="20.375" style="151" customWidth="1"/>
    <col min="7" max="7" width="11.375" style="151" customWidth="1"/>
    <col min="8" max="8" width="9.25390625" style="151" customWidth="1"/>
    <col min="9" max="9" width="10.125" style="151" bestFit="1" customWidth="1"/>
    <col min="10" max="16384" width="9.125" style="151" customWidth="1"/>
  </cols>
  <sheetData>
    <row r="1" spans="3:8" ht="12.75">
      <c r="C1" s="152"/>
      <c r="F1" s="153" t="s">
        <v>160</v>
      </c>
      <c r="G1" s="154"/>
      <c r="H1" s="154"/>
    </row>
    <row r="2" spans="3:8" ht="12.75">
      <c r="C2" s="152"/>
      <c r="F2" s="153" t="s">
        <v>161</v>
      </c>
      <c r="G2" s="154"/>
      <c r="H2" s="154"/>
    </row>
    <row r="3" spans="1:8" ht="12.75">
      <c r="A3" s="190" t="s">
        <v>226</v>
      </c>
      <c r="C3" s="152"/>
      <c r="E3" s="155"/>
      <c r="F3" s="153"/>
      <c r="G3" s="154"/>
      <c r="H3" s="154"/>
    </row>
    <row r="4" ht="12.75">
      <c r="E4" s="155"/>
    </row>
    <row r="5" spans="4:8" ht="12.75">
      <c r="D5" s="156"/>
      <c r="E5" s="156"/>
      <c r="F5" s="156"/>
      <c r="G5" s="564" t="s">
        <v>162</v>
      </c>
      <c r="H5" s="564"/>
    </row>
    <row r="6" spans="3:8" ht="12.75">
      <c r="C6" s="155"/>
      <c r="D6" s="156"/>
      <c r="E6" s="155"/>
      <c r="F6" s="155" t="s">
        <v>163</v>
      </c>
      <c r="G6" s="564">
        <v>301017</v>
      </c>
      <c r="H6" s="564"/>
    </row>
    <row r="7" spans="3:8" ht="12.75">
      <c r="C7" s="155"/>
      <c r="D7" s="156"/>
      <c r="E7" s="155"/>
      <c r="F7" s="155" t="s">
        <v>164</v>
      </c>
      <c r="G7" s="564"/>
      <c r="H7" s="564"/>
    </row>
    <row r="8" ht="12.75">
      <c r="E8" s="155"/>
    </row>
    <row r="10" spans="1:6" ht="12.75">
      <c r="A10" s="152"/>
      <c r="B10" s="158" t="s">
        <v>165</v>
      </c>
      <c r="C10" s="157" t="s">
        <v>166</v>
      </c>
      <c r="D10" s="157" t="s">
        <v>167</v>
      </c>
      <c r="F10" s="152" t="s">
        <v>168</v>
      </c>
    </row>
    <row r="11" spans="1:6" ht="12.75">
      <c r="A11" s="152"/>
      <c r="B11" s="158" t="s">
        <v>250</v>
      </c>
      <c r="C11" s="159">
        <v>1</v>
      </c>
      <c r="D11" s="160" t="s">
        <v>251</v>
      </c>
      <c r="F11" s="152" t="s">
        <v>169</v>
      </c>
    </row>
    <row r="12" ht="12.75">
      <c r="F12" s="152" t="s">
        <v>229</v>
      </c>
    </row>
    <row r="13" spans="6:8" ht="12.75">
      <c r="F13" s="152" t="s">
        <v>170</v>
      </c>
      <c r="G13" s="161">
        <f>SUM(C17:C54)</f>
        <v>1.44</v>
      </c>
      <c r="H13" s="151" t="s">
        <v>171</v>
      </c>
    </row>
    <row r="14" ht="13.5" thickBot="1"/>
    <row r="15" spans="1:8" s="158" customFormat="1" ht="36" customHeight="1" thickBot="1">
      <c r="A15" s="557" t="s">
        <v>172</v>
      </c>
      <c r="B15" s="558"/>
      <c r="C15" s="162" t="s">
        <v>186</v>
      </c>
      <c r="D15" s="162" t="s">
        <v>187</v>
      </c>
      <c r="E15" s="162" t="s">
        <v>188</v>
      </c>
      <c r="F15" s="163" t="s">
        <v>189</v>
      </c>
      <c r="G15" s="549" t="s">
        <v>173</v>
      </c>
      <c r="H15" s="550"/>
    </row>
    <row r="16" spans="1:8" s="158" customFormat="1" ht="13.5" thickBot="1">
      <c r="A16" s="559">
        <v>1</v>
      </c>
      <c r="B16" s="560"/>
      <c r="C16" s="164"/>
      <c r="D16" s="164"/>
      <c r="E16" s="164"/>
      <c r="F16" s="164"/>
      <c r="G16" s="551">
        <v>6</v>
      </c>
      <c r="H16" s="552"/>
    </row>
    <row r="17" spans="1:8" ht="39" thickTop="1">
      <c r="A17" s="165" t="str">
        <f>'тарификация '!C24</f>
        <v>Педагог дополнительного образования</v>
      </c>
      <c r="B17" s="166" t="str">
        <f>'тарификация '!B20</f>
        <v>Танцевальная студия - 1</v>
      </c>
      <c r="C17" s="167">
        <f>'тарификация '!E24</f>
        <v>0.11</v>
      </c>
      <c r="D17" s="168">
        <f>'тарификация '!Q34</f>
        <v>21120</v>
      </c>
      <c r="E17" s="169">
        <v>0</v>
      </c>
      <c r="F17" s="169">
        <f aca="true" t="shared" si="0" ref="F17:F44">D17</f>
        <v>21120</v>
      </c>
      <c r="G17" s="553"/>
      <c r="H17" s="554"/>
    </row>
    <row r="18" spans="1:8" ht="38.25">
      <c r="A18" s="165" t="str">
        <f>'тарификация '!C40</f>
        <v>Педагог дополнительного образования</v>
      </c>
      <c r="B18" s="170" t="str">
        <f>'тарификация '!B36</f>
        <v>Творческая студия</v>
      </c>
      <c r="C18" s="167">
        <f>'тарификация '!E40</f>
        <v>0.11</v>
      </c>
      <c r="D18" s="169">
        <f>'тарификация '!Q50</f>
        <v>11926</v>
      </c>
      <c r="E18" s="169">
        <v>0</v>
      </c>
      <c r="F18" s="169">
        <f t="shared" si="0"/>
        <v>11926</v>
      </c>
      <c r="G18" s="541"/>
      <c r="H18" s="542"/>
    </row>
    <row r="19" spans="1:8" ht="38.25">
      <c r="A19" s="173" t="str">
        <f>'тарификация '!C56</f>
        <v>Педагог дополнительного образования</v>
      </c>
      <c r="B19" s="174" t="str">
        <f>'тарификация '!B52</f>
        <v>Услуга логопедической помощи</v>
      </c>
      <c r="C19" s="171">
        <f>'тарификация '!E56</f>
        <v>0.11</v>
      </c>
      <c r="D19" s="169">
        <f>'тарификация '!Q66</f>
        <v>4770.4</v>
      </c>
      <c r="E19" s="169">
        <v>0</v>
      </c>
      <c r="F19" s="169">
        <f t="shared" si="0"/>
        <v>4770.4</v>
      </c>
      <c r="G19" s="541"/>
      <c r="H19" s="542"/>
    </row>
    <row r="20" spans="1:8" ht="36.75" customHeight="1">
      <c r="A20" s="173" t="s">
        <v>180</v>
      </c>
      <c r="B20" s="174" t="s">
        <v>254</v>
      </c>
      <c r="C20" s="171">
        <v>0.11</v>
      </c>
      <c r="D20" s="482">
        <f>'тарификация '!Q72</f>
        <v>3520</v>
      </c>
      <c r="E20" s="482">
        <v>0</v>
      </c>
      <c r="F20" s="169">
        <f t="shared" si="0"/>
        <v>3520</v>
      </c>
      <c r="G20" s="541"/>
      <c r="H20" s="542"/>
    </row>
    <row r="21" spans="1:8" ht="44.25" customHeight="1" hidden="1">
      <c r="A21" s="173" t="s">
        <v>180</v>
      </c>
      <c r="B21" s="174" t="s">
        <v>258</v>
      </c>
      <c r="C21" s="171"/>
      <c r="D21" s="482"/>
      <c r="E21" s="482"/>
      <c r="F21" s="482"/>
      <c r="G21" s="541"/>
      <c r="H21" s="542"/>
    </row>
    <row r="22" spans="1:8" ht="38.25" hidden="1">
      <c r="A22" s="173" t="str">
        <f>'тарификация '!C86</f>
        <v>Педагог дополнительного образования</v>
      </c>
      <c r="B22" s="174" t="str">
        <f>'тарификация '!B82</f>
        <v>Мультстудия</v>
      </c>
      <c r="C22" s="171"/>
      <c r="D22" s="169"/>
      <c r="E22" s="169"/>
      <c r="F22" s="169"/>
      <c r="G22" s="541"/>
      <c r="H22" s="542"/>
    </row>
    <row r="23" spans="1:8" ht="38.25" hidden="1">
      <c r="A23" s="173" t="str">
        <f>'тарификация '!C102</f>
        <v>Педагог дополнительного образования</v>
      </c>
      <c r="B23" s="174" t="e">
        <f>'тарификация '!B98</f>
        <v>#REF!</v>
      </c>
      <c r="C23" s="171">
        <f>'тарификация '!E102</f>
        <v>0</v>
      </c>
      <c r="D23" s="169">
        <f>'тарификация '!Q112</f>
        <v>0</v>
      </c>
      <c r="E23" s="169">
        <v>0</v>
      </c>
      <c r="F23" s="169">
        <f t="shared" si="0"/>
        <v>0</v>
      </c>
      <c r="G23" s="541"/>
      <c r="H23" s="542"/>
    </row>
    <row r="24" spans="1:8" ht="38.25" hidden="1">
      <c r="A24" s="173" t="str">
        <f>'тарификация '!C118</f>
        <v>Педагог дополнительного образования</v>
      </c>
      <c r="B24" s="174" t="e">
        <f>'тарификация '!B114</f>
        <v>#REF!</v>
      </c>
      <c r="C24" s="171">
        <f>'тарификация '!E118</f>
        <v>0</v>
      </c>
      <c r="D24" s="169">
        <f>'тарификация '!Q128</f>
        <v>0</v>
      </c>
      <c r="E24" s="169">
        <v>0</v>
      </c>
      <c r="F24" s="169">
        <f t="shared" si="0"/>
        <v>0</v>
      </c>
      <c r="G24" s="541"/>
      <c r="H24" s="542"/>
    </row>
    <row r="25" spans="1:8" ht="15" hidden="1">
      <c r="A25" s="173" t="s">
        <v>52</v>
      </c>
      <c r="B25" s="174" t="e">
        <f>'тарификация '!B130</f>
        <v>#REF!</v>
      </c>
      <c r="C25" s="171">
        <f>'тарификация '!F144</f>
        <v>0</v>
      </c>
      <c r="D25" s="169">
        <f>'тарификация '!Q144</f>
        <v>0</v>
      </c>
      <c r="E25" s="169">
        <v>0</v>
      </c>
      <c r="F25" s="169">
        <f t="shared" si="0"/>
        <v>0</v>
      </c>
      <c r="G25" s="541"/>
      <c r="H25" s="542"/>
    </row>
    <row r="26" spans="1:8" ht="38.25" hidden="1">
      <c r="A26" s="173" t="str">
        <f>'тарификация '!C150</f>
        <v>Педагог дополнительного образования</v>
      </c>
      <c r="B26" s="174" t="str">
        <f>'тарификация '!B146</f>
        <v>Танцевальная студия - 2</v>
      </c>
      <c r="C26" s="171">
        <f>'тарификация '!F160</f>
        <v>0</v>
      </c>
      <c r="D26" s="169">
        <f>'тарификация '!Q160</f>
        <v>0</v>
      </c>
      <c r="E26" s="169">
        <v>0</v>
      </c>
      <c r="F26" s="169">
        <f t="shared" si="0"/>
        <v>0</v>
      </c>
      <c r="G26" s="541"/>
      <c r="H26" s="542"/>
    </row>
    <row r="27" spans="1:8" ht="38.25" hidden="1">
      <c r="A27" s="173" t="str">
        <f>'тарификация '!C166</f>
        <v>Педагог дополнительного образования</v>
      </c>
      <c r="B27" s="174" t="e">
        <f>'тарификация '!B162</f>
        <v>#REF!</v>
      </c>
      <c r="C27" s="171">
        <f>'тарификация '!F176</f>
        <v>0</v>
      </c>
      <c r="D27" s="169">
        <f>'тарификация '!Q176</f>
        <v>0</v>
      </c>
      <c r="E27" s="169">
        <v>0</v>
      </c>
      <c r="F27" s="169">
        <f t="shared" si="0"/>
        <v>0</v>
      </c>
      <c r="G27" s="541"/>
      <c r="H27" s="542"/>
    </row>
    <row r="28" spans="1:8" ht="38.25" hidden="1">
      <c r="A28" s="173" t="str">
        <f>'тарификация '!C182</f>
        <v>Педагог дополнительного образования</v>
      </c>
      <c r="B28" s="175" t="e">
        <f>'тарификация '!B178</f>
        <v>#REF!</v>
      </c>
      <c r="C28" s="171">
        <f>'тарификация '!F192</f>
        <v>0</v>
      </c>
      <c r="D28" s="169">
        <f>'тарификация '!Q192</f>
        <v>0</v>
      </c>
      <c r="E28" s="169">
        <v>0</v>
      </c>
      <c r="F28" s="169">
        <f t="shared" si="0"/>
        <v>0</v>
      </c>
      <c r="G28" s="541"/>
      <c r="H28" s="542"/>
    </row>
    <row r="29" spans="1:8" ht="15" hidden="1">
      <c r="A29" s="173" t="s">
        <v>52</v>
      </c>
      <c r="B29" s="174" t="e">
        <f>'тарификация '!B194</f>
        <v>#REF!</v>
      </c>
      <c r="C29" s="171">
        <f>'тарификация '!F208</f>
        <v>0</v>
      </c>
      <c r="D29" s="169">
        <f>'тарификация '!Q208</f>
        <v>0</v>
      </c>
      <c r="E29" s="169">
        <f aca="true" t="shared" si="1" ref="E29:E54">D29</f>
        <v>0</v>
      </c>
      <c r="F29" s="169">
        <f t="shared" si="0"/>
        <v>0</v>
      </c>
      <c r="G29" s="541"/>
      <c r="H29" s="542"/>
    </row>
    <row r="30" spans="1:8" ht="15" hidden="1">
      <c r="A30" s="173" t="s">
        <v>52</v>
      </c>
      <c r="B30" s="174">
        <f>'тарификация '!B210</f>
        <v>0</v>
      </c>
      <c r="C30" s="171">
        <f>'тарификация '!F224</f>
        <v>0</v>
      </c>
      <c r="D30" s="169">
        <f>'тарификация '!Q224</f>
        <v>0</v>
      </c>
      <c r="E30" s="169">
        <f t="shared" si="1"/>
        <v>0</v>
      </c>
      <c r="F30" s="169">
        <f t="shared" si="0"/>
        <v>0</v>
      </c>
      <c r="G30" s="541"/>
      <c r="H30" s="542"/>
    </row>
    <row r="31" spans="1:8" ht="15" hidden="1">
      <c r="A31" s="173" t="s">
        <v>52</v>
      </c>
      <c r="B31" s="174" t="str">
        <f>'тарификация '!B226</f>
        <v>услуга 13</v>
      </c>
      <c r="C31" s="171">
        <f>'тарификация '!F240</f>
        <v>0</v>
      </c>
      <c r="D31" s="169">
        <f>'тарификация '!Q240</f>
        <v>0</v>
      </c>
      <c r="E31" s="169">
        <f t="shared" si="1"/>
        <v>0</v>
      </c>
      <c r="F31" s="169">
        <f t="shared" si="0"/>
        <v>0</v>
      </c>
      <c r="G31" s="541"/>
      <c r="H31" s="542"/>
    </row>
    <row r="32" spans="1:8" ht="15" hidden="1">
      <c r="A32" s="173" t="s">
        <v>52</v>
      </c>
      <c r="B32" s="174" t="str">
        <f>'тарификация '!B242</f>
        <v>услуга 14</v>
      </c>
      <c r="C32" s="171">
        <f>'тарификация '!F256</f>
        <v>0</v>
      </c>
      <c r="D32" s="169">
        <f>'тарификация '!Q256</f>
        <v>0</v>
      </c>
      <c r="E32" s="169">
        <f t="shared" si="1"/>
        <v>0</v>
      </c>
      <c r="F32" s="169">
        <f t="shared" si="0"/>
        <v>0</v>
      </c>
      <c r="G32" s="541"/>
      <c r="H32" s="542"/>
    </row>
    <row r="33" spans="1:8" ht="15" hidden="1">
      <c r="A33" s="173" t="s">
        <v>52</v>
      </c>
      <c r="B33" s="174" t="str">
        <f>'тарификация '!B258</f>
        <v>услуга 15</v>
      </c>
      <c r="C33" s="171">
        <f>'тарификация '!F272</f>
        <v>0</v>
      </c>
      <c r="D33" s="169">
        <f>'тарификация '!Q272</f>
        <v>0</v>
      </c>
      <c r="E33" s="169">
        <f t="shared" si="1"/>
        <v>0</v>
      </c>
      <c r="F33" s="169">
        <f t="shared" si="0"/>
        <v>0</v>
      </c>
      <c r="G33" s="541"/>
      <c r="H33" s="542"/>
    </row>
    <row r="34" spans="1:8" ht="15" hidden="1">
      <c r="A34" s="173" t="s">
        <v>52</v>
      </c>
      <c r="B34" s="174" t="str">
        <f>'тарификация '!B274</f>
        <v>услуга 16</v>
      </c>
      <c r="C34" s="171">
        <f>'тарификация '!F288</f>
        <v>0</v>
      </c>
      <c r="D34" s="169">
        <f>'тарификация '!Q288</f>
        <v>0</v>
      </c>
      <c r="E34" s="169">
        <f t="shared" si="1"/>
        <v>0</v>
      </c>
      <c r="F34" s="169">
        <f t="shared" si="0"/>
        <v>0</v>
      </c>
      <c r="G34" s="541"/>
      <c r="H34" s="542"/>
    </row>
    <row r="35" spans="1:8" ht="15" hidden="1">
      <c r="A35" s="173" t="s">
        <v>52</v>
      </c>
      <c r="B35" s="174" t="str">
        <f>'тарификация '!B290</f>
        <v>услуга 17</v>
      </c>
      <c r="C35" s="171">
        <f>'тарификация '!F304</f>
        <v>0</v>
      </c>
      <c r="D35" s="169">
        <f>'тарификация '!Q304</f>
        <v>0</v>
      </c>
      <c r="E35" s="169">
        <f t="shared" si="1"/>
        <v>0</v>
      </c>
      <c r="F35" s="169">
        <f t="shared" si="0"/>
        <v>0</v>
      </c>
      <c r="G35" s="541"/>
      <c r="H35" s="542"/>
    </row>
    <row r="36" spans="1:8" ht="15" hidden="1">
      <c r="A36" s="173" t="s">
        <v>52</v>
      </c>
      <c r="B36" s="174" t="str">
        <f>'тарификация '!B306</f>
        <v>услуга 18</v>
      </c>
      <c r="C36" s="171">
        <f>'тарификация '!F320</f>
        <v>0</v>
      </c>
      <c r="D36" s="169">
        <f>'тарификация '!Q320</f>
        <v>0</v>
      </c>
      <c r="E36" s="169">
        <f t="shared" si="1"/>
        <v>0</v>
      </c>
      <c r="F36" s="169">
        <f t="shared" si="0"/>
        <v>0</v>
      </c>
      <c r="G36" s="541"/>
      <c r="H36" s="542"/>
    </row>
    <row r="37" spans="1:8" ht="15" hidden="1">
      <c r="A37" s="173" t="s">
        <v>52</v>
      </c>
      <c r="B37" s="174" t="str">
        <f>'тарификация '!B322</f>
        <v>услуга 19</v>
      </c>
      <c r="C37" s="171">
        <f>'тарификация '!F336</f>
        <v>0</v>
      </c>
      <c r="D37" s="169">
        <f>'тарификация '!Q336</f>
        <v>0</v>
      </c>
      <c r="E37" s="169">
        <f t="shared" si="1"/>
        <v>0</v>
      </c>
      <c r="F37" s="169">
        <f t="shared" si="0"/>
        <v>0</v>
      </c>
      <c r="G37" s="541"/>
      <c r="H37" s="542"/>
    </row>
    <row r="38" spans="1:8" ht="15" hidden="1">
      <c r="A38" s="173" t="s">
        <v>52</v>
      </c>
      <c r="B38" s="174" t="str">
        <f>'тарификация '!B338</f>
        <v>услуга 20</v>
      </c>
      <c r="C38" s="171">
        <f>'тарификация '!F352</f>
        <v>0</v>
      </c>
      <c r="D38" s="169">
        <f>'тарификация '!Q352</f>
        <v>0</v>
      </c>
      <c r="E38" s="169">
        <f t="shared" si="1"/>
        <v>0</v>
      </c>
      <c r="F38" s="169">
        <f t="shared" si="0"/>
        <v>0</v>
      </c>
      <c r="G38" s="541"/>
      <c r="H38" s="542"/>
    </row>
    <row r="39" spans="1:8" ht="15" hidden="1">
      <c r="A39" s="173" t="s">
        <v>52</v>
      </c>
      <c r="B39" s="174" t="str">
        <f>'тарификация '!B354</f>
        <v>услуга 21</v>
      </c>
      <c r="C39" s="171">
        <f>'тарификация '!F368</f>
        <v>0</v>
      </c>
      <c r="D39" s="169">
        <f>'тарификация '!Q368</f>
        <v>0</v>
      </c>
      <c r="E39" s="169">
        <f t="shared" si="1"/>
        <v>0</v>
      </c>
      <c r="F39" s="169">
        <f t="shared" si="0"/>
        <v>0</v>
      </c>
      <c r="G39" s="541"/>
      <c r="H39" s="542"/>
    </row>
    <row r="40" spans="1:8" ht="15" hidden="1">
      <c r="A40" s="173" t="s">
        <v>52</v>
      </c>
      <c r="B40" s="174" t="str">
        <f>'тарификация '!B370</f>
        <v>услуга 22</v>
      </c>
      <c r="C40" s="171">
        <f>'тарификация '!F384</f>
        <v>0</v>
      </c>
      <c r="D40" s="169">
        <f>'тарификация '!Q384</f>
        <v>0</v>
      </c>
      <c r="E40" s="169">
        <f t="shared" si="1"/>
        <v>0</v>
      </c>
      <c r="F40" s="169">
        <f t="shared" si="0"/>
        <v>0</v>
      </c>
      <c r="G40" s="541"/>
      <c r="H40" s="542"/>
    </row>
    <row r="41" spans="1:8" ht="15" hidden="1">
      <c r="A41" s="173" t="s">
        <v>52</v>
      </c>
      <c r="B41" s="174" t="str">
        <f>'тарификация '!B386</f>
        <v>услуга 23</v>
      </c>
      <c r="C41" s="171">
        <f>'тарификация '!F400</f>
        <v>0</v>
      </c>
      <c r="D41" s="169">
        <f>'тарификация '!Q400</f>
        <v>0</v>
      </c>
      <c r="E41" s="169">
        <f t="shared" si="1"/>
        <v>0</v>
      </c>
      <c r="F41" s="169">
        <f t="shared" si="0"/>
        <v>0</v>
      </c>
      <c r="G41" s="541"/>
      <c r="H41" s="542"/>
    </row>
    <row r="42" spans="1:8" ht="15" hidden="1">
      <c r="A42" s="173" t="s">
        <v>52</v>
      </c>
      <c r="B42" s="174" t="str">
        <f>'тарификация '!B402</f>
        <v>услуга 24</v>
      </c>
      <c r="C42" s="171">
        <f>'тарификация '!F416</f>
        <v>0</v>
      </c>
      <c r="D42" s="169">
        <f>'тарификация '!Q416</f>
        <v>0</v>
      </c>
      <c r="E42" s="169">
        <f t="shared" si="1"/>
        <v>0</v>
      </c>
      <c r="F42" s="169">
        <f t="shared" si="0"/>
        <v>0</v>
      </c>
      <c r="G42" s="541"/>
      <c r="H42" s="542"/>
    </row>
    <row r="43" spans="1:8" ht="15" hidden="1">
      <c r="A43" s="173" t="s">
        <v>52</v>
      </c>
      <c r="B43" s="174" t="str">
        <f>'тарификация '!B418</f>
        <v>услуга 25</v>
      </c>
      <c r="C43" s="171">
        <f>'тарификация '!F432</f>
        <v>0</v>
      </c>
      <c r="D43" s="169">
        <f>'тарификация '!Q432</f>
        <v>0</v>
      </c>
      <c r="E43" s="169">
        <f t="shared" si="1"/>
        <v>0</v>
      </c>
      <c r="F43" s="169">
        <f t="shared" si="0"/>
        <v>0</v>
      </c>
      <c r="G43" s="541"/>
      <c r="H43" s="542"/>
    </row>
    <row r="44" spans="1:8" ht="15" hidden="1">
      <c r="A44" s="173" t="s">
        <v>52</v>
      </c>
      <c r="B44" s="174" t="str">
        <f>'тарификация '!B434</f>
        <v>услуга 26</v>
      </c>
      <c r="C44" s="171">
        <f>'тарификация '!F448</f>
        <v>0</v>
      </c>
      <c r="D44" s="169">
        <f>'тарификация '!Q448</f>
        <v>0</v>
      </c>
      <c r="E44" s="169">
        <f t="shared" si="1"/>
        <v>0</v>
      </c>
      <c r="F44" s="169">
        <f t="shared" si="0"/>
        <v>0</v>
      </c>
      <c r="G44" s="541"/>
      <c r="H44" s="542"/>
    </row>
    <row r="45" spans="1:8" ht="12.75" hidden="1">
      <c r="A45" s="173">
        <f>'тарификация '!C458</f>
        <v>0</v>
      </c>
      <c r="B45" s="176" t="s">
        <v>9</v>
      </c>
      <c r="C45" s="172">
        <f>'тарификация '!F458</f>
        <v>0</v>
      </c>
      <c r="D45" s="169">
        <f>'тарификация '!Q458</f>
        <v>0</v>
      </c>
      <c r="E45" s="169">
        <v>0</v>
      </c>
      <c r="F45" s="169">
        <f>D45</f>
        <v>0</v>
      </c>
      <c r="G45" s="541"/>
      <c r="H45" s="542"/>
    </row>
    <row r="46" spans="1:8" ht="39" thickBot="1">
      <c r="A46" s="173" t="str">
        <f>'тарификация '!C459</f>
        <v>Диспетчер образовательного учреждения</v>
      </c>
      <c r="B46" s="176" t="s">
        <v>9</v>
      </c>
      <c r="C46" s="172">
        <f>'тарификация '!E459</f>
        <v>1</v>
      </c>
      <c r="D46" s="169">
        <f>'тарификация '!Q459</f>
        <v>7500</v>
      </c>
      <c r="E46" s="169">
        <v>0</v>
      </c>
      <c r="F46" s="169">
        <f>D46</f>
        <v>7500</v>
      </c>
      <c r="G46" s="541"/>
      <c r="H46" s="542"/>
    </row>
    <row r="47" spans="1:8" ht="13.5" hidden="1" thickBot="1">
      <c r="A47" s="177">
        <f>'тарификация '!C460</f>
        <v>0</v>
      </c>
      <c r="B47" s="178"/>
      <c r="C47" s="157">
        <f>'тарификация '!F460</f>
        <v>0</v>
      </c>
      <c r="D47" s="179">
        <f>'тарификация '!Q460</f>
        <v>0</v>
      </c>
      <c r="E47" s="179">
        <f t="shared" si="1"/>
        <v>0</v>
      </c>
      <c r="F47" s="169">
        <f aca="true" t="shared" si="2" ref="F47:F54">D47</f>
        <v>0</v>
      </c>
      <c r="G47" s="564"/>
      <c r="H47" s="565"/>
    </row>
    <row r="48" spans="1:8" ht="12.75" hidden="1">
      <c r="A48" s="177" t="str">
        <f>'тарификация '!C461</f>
        <v>должность 4</v>
      </c>
      <c r="B48" s="178" t="s">
        <v>9</v>
      </c>
      <c r="C48" s="157">
        <f>'тарификация '!F461</f>
        <v>0</v>
      </c>
      <c r="D48" s="179">
        <f>'тарификация '!Q461</f>
        <v>0</v>
      </c>
      <c r="E48" s="179">
        <f t="shared" si="1"/>
        <v>0</v>
      </c>
      <c r="F48" s="169">
        <f t="shared" si="2"/>
        <v>0</v>
      </c>
      <c r="G48" s="564"/>
      <c r="H48" s="565"/>
    </row>
    <row r="49" spans="1:8" ht="12.75" hidden="1">
      <c r="A49" s="177" t="str">
        <f>'тарификация '!C462</f>
        <v>должность 5</v>
      </c>
      <c r="B49" s="178" t="s">
        <v>9</v>
      </c>
      <c r="C49" s="157">
        <f>'тарификация '!F462</f>
        <v>0</v>
      </c>
      <c r="D49" s="179">
        <f>'тарификация '!Q462</f>
        <v>0</v>
      </c>
      <c r="E49" s="179">
        <f t="shared" si="1"/>
        <v>0</v>
      </c>
      <c r="F49" s="169">
        <f t="shared" si="2"/>
        <v>0</v>
      </c>
      <c r="G49" s="564"/>
      <c r="H49" s="565"/>
    </row>
    <row r="50" spans="1:8" ht="12.75" hidden="1">
      <c r="A50" s="177" t="str">
        <f>'тарификация '!C463</f>
        <v>должность 6</v>
      </c>
      <c r="B50" s="178" t="s">
        <v>9</v>
      </c>
      <c r="C50" s="157">
        <f>'тарификация '!F463</f>
        <v>0</v>
      </c>
      <c r="D50" s="179">
        <f>'тарификация '!Q463</f>
        <v>0</v>
      </c>
      <c r="E50" s="179">
        <f t="shared" si="1"/>
        <v>0</v>
      </c>
      <c r="F50" s="169">
        <f t="shared" si="2"/>
        <v>0</v>
      </c>
      <c r="G50" s="564"/>
      <c r="H50" s="565"/>
    </row>
    <row r="51" spans="1:8" ht="12.75" hidden="1">
      <c r="A51" s="177" t="str">
        <f>'тарификация '!C464</f>
        <v>должность 7</v>
      </c>
      <c r="B51" s="178" t="s">
        <v>9</v>
      </c>
      <c r="C51" s="157">
        <f>'тарификация '!F464</f>
        <v>0</v>
      </c>
      <c r="D51" s="179">
        <f>'тарификация '!Q464</f>
        <v>0</v>
      </c>
      <c r="E51" s="179">
        <f t="shared" si="1"/>
        <v>0</v>
      </c>
      <c r="F51" s="169">
        <f t="shared" si="2"/>
        <v>0</v>
      </c>
      <c r="G51" s="564"/>
      <c r="H51" s="565"/>
    </row>
    <row r="52" spans="1:8" ht="12.75" hidden="1">
      <c r="A52" s="177" t="str">
        <f>'тарификация '!C465</f>
        <v>должность 8</v>
      </c>
      <c r="B52" s="178" t="s">
        <v>9</v>
      </c>
      <c r="C52" s="157">
        <f>'тарификация '!F465</f>
        <v>0</v>
      </c>
      <c r="D52" s="179">
        <f>'тарификация '!Q465</f>
        <v>0</v>
      </c>
      <c r="E52" s="179">
        <f t="shared" si="1"/>
        <v>0</v>
      </c>
      <c r="F52" s="169">
        <f t="shared" si="2"/>
        <v>0</v>
      </c>
      <c r="G52" s="564"/>
      <c r="H52" s="565"/>
    </row>
    <row r="53" spans="1:8" ht="12.75" hidden="1">
      <c r="A53" s="177" t="str">
        <f>'тарификация '!C466</f>
        <v>должность 9</v>
      </c>
      <c r="B53" s="178" t="s">
        <v>9</v>
      </c>
      <c r="C53" s="157">
        <f>'тарификация '!F466</f>
        <v>0</v>
      </c>
      <c r="D53" s="179">
        <f>'тарификация '!Q466</f>
        <v>0</v>
      </c>
      <c r="E53" s="179">
        <f t="shared" si="1"/>
        <v>0</v>
      </c>
      <c r="F53" s="169">
        <f t="shared" si="2"/>
        <v>0</v>
      </c>
      <c r="G53" s="564"/>
      <c r="H53" s="565"/>
    </row>
    <row r="54" spans="1:8" ht="13.5" hidden="1" thickBot="1">
      <c r="A54" s="180" t="str">
        <f>'тарификация '!C467</f>
        <v>должность 10</v>
      </c>
      <c r="B54" s="181" t="s">
        <v>9</v>
      </c>
      <c r="C54" s="182">
        <f>'тарификация '!F467</f>
        <v>0</v>
      </c>
      <c r="D54" s="183">
        <f>'тарификация '!Q467</f>
        <v>0</v>
      </c>
      <c r="E54" s="183">
        <f t="shared" si="1"/>
        <v>0</v>
      </c>
      <c r="F54" s="169">
        <f t="shared" si="2"/>
        <v>0</v>
      </c>
      <c r="G54" s="566"/>
      <c r="H54" s="567"/>
    </row>
    <row r="55" spans="1:8" s="158" customFormat="1" ht="12.75">
      <c r="A55" s="561" t="s">
        <v>74</v>
      </c>
      <c r="B55" s="562"/>
      <c r="C55" s="562"/>
      <c r="D55" s="562"/>
      <c r="E55" s="563"/>
      <c r="F55" s="184">
        <f>SUM(F17:F54)</f>
        <v>48836.4</v>
      </c>
      <c r="G55" s="555"/>
      <c r="H55" s="556"/>
    </row>
    <row r="56" spans="1:8" s="158" customFormat="1" ht="12.75">
      <c r="A56" s="543" t="s">
        <v>174</v>
      </c>
      <c r="B56" s="544"/>
      <c r="C56" s="544"/>
      <c r="D56" s="544"/>
      <c r="E56" s="545"/>
      <c r="F56" s="185">
        <f>'тарификация '!Q475</f>
        <v>12209.1</v>
      </c>
      <c r="G56" s="572"/>
      <c r="H56" s="573"/>
    </row>
    <row r="57" spans="1:9" s="158" customFormat="1" ht="12.75">
      <c r="A57" s="543" t="s">
        <v>175</v>
      </c>
      <c r="B57" s="544"/>
      <c r="C57" s="544"/>
      <c r="D57" s="544"/>
      <c r="E57" s="545"/>
      <c r="F57" s="185">
        <f>'тарификация '!Q477</f>
        <v>6918.83</v>
      </c>
      <c r="G57" s="568"/>
      <c r="H57" s="569"/>
      <c r="I57" s="186"/>
    </row>
    <row r="58" spans="1:8" s="158" customFormat="1" ht="12.75">
      <c r="A58" s="543" t="s">
        <v>176</v>
      </c>
      <c r="B58" s="544"/>
      <c r="C58" s="544"/>
      <c r="D58" s="544"/>
      <c r="E58" s="545"/>
      <c r="F58" s="185">
        <f>(F55+F56+F57)*0.15</f>
        <v>10194.65</v>
      </c>
      <c r="G58" s="568"/>
      <c r="H58" s="569"/>
    </row>
    <row r="59" spans="1:8" s="158" customFormat="1" ht="12.75">
      <c r="A59" s="543" t="s">
        <v>177</v>
      </c>
      <c r="B59" s="544"/>
      <c r="C59" s="544"/>
      <c r="D59" s="544"/>
      <c r="E59" s="545"/>
      <c r="F59" s="185">
        <f>F55+F56+F57+F58</f>
        <v>78158.98</v>
      </c>
      <c r="G59" s="568"/>
      <c r="H59" s="569"/>
    </row>
    <row r="60" spans="1:8" s="158" customFormat="1" ht="13.5" thickBot="1">
      <c r="A60" s="546" t="s">
        <v>178</v>
      </c>
      <c r="B60" s="547"/>
      <c r="C60" s="547"/>
      <c r="D60" s="547"/>
      <c r="E60" s="548"/>
      <c r="F60" s="187">
        <f>F59*1.302</f>
        <v>101762.99</v>
      </c>
      <c r="G60" s="570"/>
      <c r="H60" s="571"/>
    </row>
    <row r="61" spans="1:5" ht="15.75">
      <c r="A61" s="48"/>
      <c r="B61" s="48"/>
      <c r="C61" s="48"/>
      <c r="D61" s="48"/>
      <c r="E61" s="48"/>
    </row>
    <row r="62" ht="12.75">
      <c r="F62" s="188"/>
    </row>
    <row r="63" spans="2:4" s="40" customFormat="1" ht="12.75">
      <c r="B63" s="39" t="s">
        <v>211</v>
      </c>
      <c r="D63" s="189" t="s">
        <v>221</v>
      </c>
    </row>
  </sheetData>
  <sheetProtection/>
  <mergeCells count="57">
    <mergeCell ref="G57:H57"/>
    <mergeCell ref="G58:H58"/>
    <mergeCell ref="G59:H59"/>
    <mergeCell ref="G60:H60"/>
    <mergeCell ref="G5:H5"/>
    <mergeCell ref="G6:H6"/>
    <mergeCell ref="G7:H7"/>
    <mergeCell ref="G56:H56"/>
    <mergeCell ref="G49:H49"/>
    <mergeCell ref="G50:H50"/>
    <mergeCell ref="G51:H51"/>
    <mergeCell ref="G52:H52"/>
    <mergeCell ref="G53:H53"/>
    <mergeCell ref="G54:H54"/>
    <mergeCell ref="G42:H42"/>
    <mergeCell ref="G43:H43"/>
    <mergeCell ref="G44:H44"/>
    <mergeCell ref="G46:H46"/>
    <mergeCell ref="G47:H47"/>
    <mergeCell ref="G48:H48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A15:B15"/>
    <mergeCell ref="A16:B16"/>
    <mergeCell ref="A55:E55"/>
    <mergeCell ref="A56:E56"/>
    <mergeCell ref="A57:E57"/>
    <mergeCell ref="A58:E58"/>
    <mergeCell ref="A59:E59"/>
    <mergeCell ref="A60:E60"/>
    <mergeCell ref="G15:H15"/>
    <mergeCell ref="G16:H16"/>
    <mergeCell ref="G17:H17"/>
    <mergeCell ref="G18:H18"/>
    <mergeCell ref="G19:H19"/>
    <mergeCell ref="G45:H45"/>
    <mergeCell ref="G55:H55"/>
    <mergeCell ref="G22:H22"/>
    <mergeCell ref="G20:H20"/>
    <mergeCell ref="G21:H21"/>
    <mergeCell ref="G29:H29"/>
    <mergeCell ref="G23:H23"/>
    <mergeCell ref="G24:H24"/>
    <mergeCell ref="G25:H25"/>
    <mergeCell ref="G26:H26"/>
    <mergeCell ref="G27:H27"/>
    <mergeCell ref="G28:H28"/>
  </mergeCells>
  <printOptions/>
  <pageMargins left="0.35" right="0" top="0" bottom="0" header="0.22" footer="0.19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37">
      <selection activeCell="B58" sqref="A58:IV64"/>
    </sheetView>
  </sheetViews>
  <sheetFormatPr defaultColWidth="9.00390625" defaultRowHeight="12.75"/>
  <cols>
    <col min="1" max="1" width="45.625" style="191" customWidth="1"/>
    <col min="2" max="2" width="7.75390625" style="191" customWidth="1"/>
    <col min="3" max="3" width="13.625" style="191" customWidth="1"/>
    <col min="4" max="4" width="14.25390625" style="191" customWidth="1"/>
    <col min="5" max="5" width="13.375" style="191" customWidth="1"/>
    <col min="6" max="6" width="13.625" style="191" customWidth="1"/>
    <col min="7" max="7" width="12.875" style="191" hidden="1" customWidth="1"/>
    <col min="8" max="8" width="12.625" style="191" hidden="1" customWidth="1"/>
    <col min="9" max="27" width="13.875" style="191" hidden="1" customWidth="1"/>
    <col min="28" max="28" width="11.875" style="191" hidden="1" customWidth="1"/>
    <col min="29" max="29" width="15.125" style="191" customWidth="1"/>
    <col min="30" max="30" width="12.375" style="191" customWidth="1"/>
    <col min="31" max="40" width="9.125" style="191" customWidth="1"/>
    <col min="41" max="41" width="9.125" style="193" customWidth="1"/>
    <col min="42" max="16384" width="9.125" style="191" customWidth="1"/>
  </cols>
  <sheetData>
    <row r="1" spans="1:29" ht="12.75">
      <c r="A1" s="49" t="s">
        <v>226</v>
      </c>
      <c r="E1" s="192" t="s">
        <v>10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51"/>
    </row>
    <row r="2" spans="5:29" ht="12.75">
      <c r="E2" s="191" t="s">
        <v>210</v>
      </c>
      <c r="AC2" s="51" t="s">
        <v>221</v>
      </c>
    </row>
    <row r="3" ht="12.75">
      <c r="AC3" s="51"/>
    </row>
    <row r="5" spans="1:29" ht="12.75">
      <c r="A5" s="577" t="s">
        <v>182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</row>
    <row r="6" spans="1:29" ht="12.75">
      <c r="A6" s="576" t="s">
        <v>252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</row>
    <row r="7" spans="1:29" ht="12.75">
      <c r="A7" s="576"/>
      <c r="B7" s="57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94"/>
    </row>
    <row r="8" spans="1:29" ht="13.5" thickBo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77.25" customHeight="1" thickBot="1">
      <c r="A9" s="197" t="s">
        <v>17</v>
      </c>
      <c r="B9" s="198" t="s">
        <v>18</v>
      </c>
      <c r="C9" s="199" t="str">
        <f>доходы!B11</f>
        <v>Танцевальная студия - 1</v>
      </c>
      <c r="D9" s="200" t="str">
        <f>доходы!B13</f>
        <v>Творческая студия</v>
      </c>
      <c r="E9" s="201" t="str">
        <f>доходы!B15</f>
        <v>Услуга логопедической помощи</v>
      </c>
      <c r="F9" s="202" t="str">
        <f>доходы!B17</f>
        <v>Мультстудия</v>
      </c>
      <c r="G9" s="199" t="e">
        <f>доходы!#REF!</f>
        <v>#REF!</v>
      </c>
      <c r="H9" s="200" t="e">
        <f>доходы!#REF!</f>
        <v>#REF!</v>
      </c>
      <c r="I9" s="202" t="e">
        <f>доходы!#REF!</f>
        <v>#REF!</v>
      </c>
      <c r="J9" s="199" t="str">
        <f>доходы!B19</f>
        <v>Танцевальная студия - 2</v>
      </c>
      <c r="K9" s="203" t="e">
        <f>доходы!#REF!</f>
        <v>#REF!</v>
      </c>
      <c r="L9" s="199" t="e">
        <f>доходы!#REF!</f>
        <v>#REF!</v>
      </c>
      <c r="M9" s="200" t="e">
        <f>доходы!#REF!</f>
        <v>#REF!</v>
      </c>
      <c r="N9" s="201">
        <f>доходы!B23</f>
        <v>0</v>
      </c>
      <c r="O9" s="201" t="str">
        <f>доходы!B24</f>
        <v>услуга 13</v>
      </c>
      <c r="P9" s="201" t="str">
        <f>доходы!B25</f>
        <v>услуга 14</v>
      </c>
      <c r="Q9" s="201" t="str">
        <f>доходы!B26</f>
        <v>услуга 15</v>
      </c>
      <c r="R9" s="201" t="str">
        <f>доходы!B27</f>
        <v>услуга 16</v>
      </c>
      <c r="S9" s="201" t="str">
        <f>доходы!B28</f>
        <v>услуга 17</v>
      </c>
      <c r="T9" s="201" t="str">
        <f>доходы!B29</f>
        <v>услуга 18</v>
      </c>
      <c r="U9" s="201" t="str">
        <f>доходы!B30</f>
        <v>услуга 19</v>
      </c>
      <c r="V9" s="201" t="str">
        <f>доходы!B31</f>
        <v>услуга 20</v>
      </c>
      <c r="W9" s="201" t="str">
        <f>доходы!B32</f>
        <v>услуга 21</v>
      </c>
      <c r="X9" s="201" t="str">
        <f>доходы!B33</f>
        <v>услуга 22</v>
      </c>
      <c r="Y9" s="201" t="str">
        <f>доходы!B34</f>
        <v>услуга 23</v>
      </c>
      <c r="Z9" s="201" t="str">
        <f>доходы!B35</f>
        <v>услуга 24</v>
      </c>
      <c r="AA9" s="201" t="str">
        <f>доходы!B36</f>
        <v>услуга 25</v>
      </c>
      <c r="AB9" s="201" t="str">
        <f>доходы!B37</f>
        <v>услуга 26</v>
      </c>
      <c r="AC9" s="201" t="s">
        <v>49</v>
      </c>
    </row>
    <row r="10" spans="1:29" ht="13.5" thickBot="1">
      <c r="A10" s="204"/>
      <c r="B10" s="204"/>
      <c r="C10" s="205">
        <f>'расчет%'!H17</f>
        <v>51.43</v>
      </c>
      <c r="D10" s="206">
        <f>'расчет%'!H18</f>
        <v>28.57</v>
      </c>
      <c r="E10" s="207">
        <f>'расчет%'!H19</f>
        <v>11.43</v>
      </c>
      <c r="F10" s="208">
        <f>'расчет%'!H20</f>
        <v>8.57</v>
      </c>
      <c r="G10" s="205">
        <f>'расчет%'!H21</f>
        <v>0</v>
      </c>
      <c r="H10" s="206">
        <f>'расчет%'!H22</f>
        <v>0</v>
      </c>
      <c r="I10" s="209">
        <f>'расчет%'!H23</f>
        <v>0</v>
      </c>
      <c r="J10" s="205">
        <f>'расчет%'!H24</f>
        <v>0</v>
      </c>
      <c r="K10" s="209">
        <f>'расчет%'!H25</f>
        <v>0</v>
      </c>
      <c r="L10" s="205">
        <f>'расчет%'!H26</f>
        <v>0</v>
      </c>
      <c r="M10" s="206">
        <f>'расчет%'!H27</f>
        <v>0</v>
      </c>
      <c r="N10" s="206">
        <f>'расчет%'!H28</f>
        <v>0</v>
      </c>
      <c r="O10" s="206">
        <f>'расчет%'!H29</f>
        <v>0</v>
      </c>
      <c r="P10" s="206">
        <f>'расчет%'!H30</f>
        <v>0</v>
      </c>
      <c r="Q10" s="206">
        <f>'расчет%'!H31</f>
        <v>0</v>
      </c>
      <c r="R10" s="206">
        <f>'расчет%'!H32</f>
        <v>0</v>
      </c>
      <c r="S10" s="206">
        <f>'расчет%'!H33</f>
        <v>0</v>
      </c>
      <c r="T10" s="206">
        <f>'расчет%'!H34</f>
        <v>0</v>
      </c>
      <c r="U10" s="206">
        <f>'расчет%'!H35</f>
        <v>0</v>
      </c>
      <c r="V10" s="206">
        <f>'расчет%'!H36</f>
        <v>0</v>
      </c>
      <c r="W10" s="206">
        <f>'расчет%'!H37</f>
        <v>0</v>
      </c>
      <c r="X10" s="206">
        <f>'расчет%'!H38</f>
        <v>0</v>
      </c>
      <c r="Y10" s="206">
        <f>'расчет%'!H39</f>
        <v>0</v>
      </c>
      <c r="Z10" s="206">
        <f>'расчет%'!H40</f>
        <v>0</v>
      </c>
      <c r="AA10" s="206">
        <f>'расчет%'!H41</f>
        <v>0</v>
      </c>
      <c r="AB10" s="206">
        <f>'расчет%'!H42</f>
        <v>0</v>
      </c>
      <c r="AC10" s="210">
        <f>SUM(C10:AB10)</f>
        <v>100</v>
      </c>
    </row>
    <row r="11" spans="1:29" ht="12.75">
      <c r="A11" s="211" t="s">
        <v>19</v>
      </c>
      <c r="B11" s="484"/>
      <c r="C11" s="214"/>
      <c r="D11" s="214"/>
      <c r="E11" s="215"/>
      <c r="F11" s="216"/>
      <c r="G11" s="213"/>
      <c r="H11" s="214"/>
      <c r="I11" s="215"/>
      <c r="J11" s="213"/>
      <c r="K11" s="215"/>
      <c r="L11" s="213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</row>
    <row r="12" spans="1:30" ht="12.75">
      <c r="A12" s="217" t="s">
        <v>58</v>
      </c>
      <c r="B12" s="309">
        <v>211</v>
      </c>
      <c r="C12" s="219">
        <f>'тарификация '!S34</f>
        <v>24288</v>
      </c>
      <c r="D12" s="219">
        <f>'тарификация '!S50</f>
        <v>13714.9</v>
      </c>
      <c r="E12" s="220">
        <f>'тарификация '!S66</f>
        <v>5485.96</v>
      </c>
      <c r="F12" s="218">
        <f>'тарификация '!S72</f>
        <v>4048</v>
      </c>
      <c r="G12" s="218">
        <f>'тарификация '!S112</f>
        <v>0</v>
      </c>
      <c r="H12" s="219">
        <f>'тарификация '!S128</f>
        <v>0</v>
      </c>
      <c r="I12" s="220">
        <f>'тарификация '!S144</f>
        <v>0</v>
      </c>
      <c r="J12" s="218">
        <f>'тарификация '!S160</f>
        <v>0</v>
      </c>
      <c r="K12" s="220">
        <f>'тарификация '!S176</f>
        <v>0</v>
      </c>
      <c r="L12" s="218">
        <f>'тарификация '!S192</f>
        <v>0</v>
      </c>
      <c r="M12" s="219">
        <f>'тарификация '!S208</f>
        <v>0</v>
      </c>
      <c r="N12" s="219">
        <f>'тарификация '!S224</f>
        <v>0</v>
      </c>
      <c r="O12" s="219">
        <f>'тарификация '!S240</f>
        <v>0</v>
      </c>
      <c r="P12" s="219">
        <f>'тарификация '!S256</f>
        <v>0</v>
      </c>
      <c r="Q12" s="219">
        <f>'тарификация '!S272</f>
        <v>0</v>
      </c>
      <c r="R12" s="219">
        <f>'тарификация '!S288</f>
        <v>0</v>
      </c>
      <c r="S12" s="219">
        <f>'тарификация '!S304</f>
        <v>0</v>
      </c>
      <c r="T12" s="219">
        <f>'тарификация '!S320</f>
        <v>0</v>
      </c>
      <c r="U12" s="219">
        <f>'тарификация '!S336</f>
        <v>0</v>
      </c>
      <c r="V12" s="219">
        <f>'тарификация '!S352</f>
        <v>0</v>
      </c>
      <c r="W12" s="219">
        <f>'тарификация '!S368</f>
        <v>0</v>
      </c>
      <c r="X12" s="219">
        <f>'тарификация '!S384</f>
        <v>0</v>
      </c>
      <c r="Y12" s="219">
        <f>'тарификация '!S400</f>
        <v>0</v>
      </c>
      <c r="Z12" s="219">
        <f>'тарификация '!S416</f>
        <v>0</v>
      </c>
      <c r="AA12" s="219">
        <f>'тарификация '!S432</f>
        <v>0</v>
      </c>
      <c r="AB12" s="219">
        <f>'тарификация '!S448</f>
        <v>0</v>
      </c>
      <c r="AC12" s="219">
        <f>SUM(C12:AB12)</f>
        <v>47536.86</v>
      </c>
      <c r="AD12" s="221"/>
    </row>
    <row r="13" spans="1:29" ht="12.75">
      <c r="A13" s="222" t="s">
        <v>20</v>
      </c>
      <c r="B13" s="312">
        <v>213</v>
      </c>
      <c r="C13" s="219">
        <f>C12*0.302</f>
        <v>7334.98</v>
      </c>
      <c r="D13" s="219">
        <f>D12*0.302</f>
        <v>4141.9</v>
      </c>
      <c r="E13" s="220">
        <f>E12*0.302</f>
        <v>1656.76</v>
      </c>
      <c r="F13" s="218">
        <f>F12*0.302</f>
        <v>1222.5</v>
      </c>
      <c r="G13" s="218">
        <f aca="true" t="shared" si="0" ref="G13:AB13">G12*0.302</f>
        <v>0</v>
      </c>
      <c r="H13" s="219">
        <f t="shared" si="0"/>
        <v>0</v>
      </c>
      <c r="I13" s="220">
        <f t="shared" si="0"/>
        <v>0</v>
      </c>
      <c r="J13" s="218">
        <f t="shared" si="0"/>
        <v>0</v>
      </c>
      <c r="K13" s="220">
        <f t="shared" si="0"/>
        <v>0</v>
      </c>
      <c r="L13" s="218">
        <f t="shared" si="0"/>
        <v>0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0</v>
      </c>
      <c r="S13" s="219">
        <f t="shared" si="0"/>
        <v>0</v>
      </c>
      <c r="T13" s="219">
        <f t="shared" si="0"/>
        <v>0</v>
      </c>
      <c r="U13" s="219">
        <f t="shared" si="0"/>
        <v>0</v>
      </c>
      <c r="V13" s="219">
        <f t="shared" si="0"/>
        <v>0</v>
      </c>
      <c r="W13" s="219">
        <f t="shared" si="0"/>
        <v>0</v>
      </c>
      <c r="X13" s="219">
        <f t="shared" si="0"/>
        <v>0</v>
      </c>
      <c r="Y13" s="219">
        <f t="shared" si="0"/>
        <v>0</v>
      </c>
      <c r="Z13" s="219">
        <f t="shared" si="0"/>
        <v>0</v>
      </c>
      <c r="AA13" s="219">
        <f t="shared" si="0"/>
        <v>0</v>
      </c>
      <c r="AB13" s="219">
        <f t="shared" si="0"/>
        <v>0</v>
      </c>
      <c r="AC13" s="219">
        <f aca="true" t="shared" si="1" ref="AC13:AC18">SUM(C13:AB13)</f>
        <v>14356.14</v>
      </c>
    </row>
    <row r="14" spans="1:29" ht="12.75">
      <c r="A14" s="217" t="s">
        <v>21</v>
      </c>
      <c r="B14" s="309">
        <v>211</v>
      </c>
      <c r="C14" s="219">
        <f>C12*'тарификация '!$S476%</f>
        <v>6072</v>
      </c>
      <c r="D14" s="219">
        <f>D12*'тарификация '!$S476%</f>
        <v>3428.73</v>
      </c>
      <c r="E14" s="220">
        <f>E12*'тарификация '!$S476%</f>
        <v>1371.49</v>
      </c>
      <c r="F14" s="218">
        <f>F12*'тарификация '!$S476%</f>
        <v>1012</v>
      </c>
      <c r="G14" s="218">
        <f>G12*'тарификация '!$S476%</f>
        <v>0</v>
      </c>
      <c r="H14" s="219">
        <f>H12*'тарификация '!$S476%</f>
        <v>0</v>
      </c>
      <c r="I14" s="220">
        <f>I12*'тарификация '!$S476%</f>
        <v>0</v>
      </c>
      <c r="J14" s="218">
        <f>J12*'тарификация '!$S476%</f>
        <v>0</v>
      </c>
      <c r="K14" s="220">
        <f>K12*'тарификация '!$S476%</f>
        <v>0</v>
      </c>
      <c r="L14" s="218">
        <f>L12*'тарификация '!$S476%</f>
        <v>0</v>
      </c>
      <c r="M14" s="219">
        <f>M12*'тарификация '!$S476%</f>
        <v>0</v>
      </c>
      <c r="N14" s="219">
        <f>N12*'тарификация '!$S476%</f>
        <v>0</v>
      </c>
      <c r="O14" s="219">
        <f>O12*'тарификация '!$S476%</f>
        <v>0</v>
      </c>
      <c r="P14" s="219">
        <f>P12*'тарификация '!$S476%</f>
        <v>0</v>
      </c>
      <c r="Q14" s="219">
        <f>Q12*'тарификация '!$S476%</f>
        <v>0</v>
      </c>
      <c r="R14" s="219">
        <f>R12*'тарификация '!$S476%</f>
        <v>0</v>
      </c>
      <c r="S14" s="219">
        <f>S12*'тарификация '!$S476%</f>
        <v>0</v>
      </c>
      <c r="T14" s="219">
        <f>T12*'тарификация '!$S476%</f>
        <v>0</v>
      </c>
      <c r="U14" s="219">
        <f>U12*'тарификация '!$S476%</f>
        <v>0</v>
      </c>
      <c r="V14" s="219">
        <f>V12*'тарификация '!$S476%</f>
        <v>0</v>
      </c>
      <c r="W14" s="219">
        <f>W12*'тарификация '!$S476%</f>
        <v>0</v>
      </c>
      <c r="X14" s="219">
        <f>X12*'тарификация '!$S476%</f>
        <v>0</v>
      </c>
      <c r="Y14" s="219">
        <f>Y12*'тарификация '!$S476%</f>
        <v>0</v>
      </c>
      <c r="Z14" s="219">
        <f>Z12*'тарификация '!$S476%</f>
        <v>0</v>
      </c>
      <c r="AA14" s="219">
        <f>AA12*'тарификация '!$S476%</f>
        <v>0</v>
      </c>
      <c r="AB14" s="219">
        <f>AB12*'тарификация '!$S476%</f>
        <v>0</v>
      </c>
      <c r="AC14" s="219">
        <f t="shared" si="1"/>
        <v>11884.22</v>
      </c>
    </row>
    <row r="15" spans="1:29" ht="12.75">
      <c r="A15" s="222" t="s">
        <v>22</v>
      </c>
      <c r="B15" s="312">
        <v>213</v>
      </c>
      <c r="C15" s="219">
        <f>C14*0.302</f>
        <v>1833.74</v>
      </c>
      <c r="D15" s="218">
        <f>D14*0.302</f>
        <v>1035.48</v>
      </c>
      <c r="E15" s="218">
        <f>E14*0.302</f>
        <v>414.19</v>
      </c>
      <c r="F15" s="218">
        <f>F14*0.302</f>
        <v>305.62</v>
      </c>
      <c r="G15" s="218">
        <f aca="true" t="shared" si="2" ref="G15:AB15">G14*0.302</f>
        <v>0</v>
      </c>
      <c r="H15" s="219">
        <f t="shared" si="2"/>
        <v>0</v>
      </c>
      <c r="I15" s="220">
        <f t="shared" si="2"/>
        <v>0</v>
      </c>
      <c r="J15" s="218">
        <f t="shared" si="2"/>
        <v>0</v>
      </c>
      <c r="K15" s="220">
        <f t="shared" si="2"/>
        <v>0</v>
      </c>
      <c r="L15" s="218">
        <f t="shared" si="2"/>
        <v>0</v>
      </c>
      <c r="M15" s="219">
        <f t="shared" si="2"/>
        <v>0</v>
      </c>
      <c r="N15" s="219">
        <f t="shared" si="2"/>
        <v>0</v>
      </c>
      <c r="O15" s="219">
        <f t="shared" si="2"/>
        <v>0</v>
      </c>
      <c r="P15" s="219">
        <f t="shared" si="2"/>
        <v>0</v>
      </c>
      <c r="Q15" s="219">
        <f t="shared" si="2"/>
        <v>0</v>
      </c>
      <c r="R15" s="219">
        <f t="shared" si="2"/>
        <v>0</v>
      </c>
      <c r="S15" s="219">
        <f t="shared" si="2"/>
        <v>0</v>
      </c>
      <c r="T15" s="219">
        <f t="shared" si="2"/>
        <v>0</v>
      </c>
      <c r="U15" s="219">
        <f t="shared" si="2"/>
        <v>0</v>
      </c>
      <c r="V15" s="219">
        <f t="shared" si="2"/>
        <v>0</v>
      </c>
      <c r="W15" s="219">
        <f t="shared" si="2"/>
        <v>0</v>
      </c>
      <c r="X15" s="219">
        <f t="shared" si="2"/>
        <v>0</v>
      </c>
      <c r="Y15" s="219">
        <f t="shared" si="2"/>
        <v>0</v>
      </c>
      <c r="Z15" s="219">
        <f t="shared" si="2"/>
        <v>0</v>
      </c>
      <c r="AA15" s="219">
        <f t="shared" si="2"/>
        <v>0</v>
      </c>
      <c r="AB15" s="219">
        <f t="shared" si="2"/>
        <v>0</v>
      </c>
      <c r="AC15" s="219">
        <f t="shared" si="1"/>
        <v>3589.03</v>
      </c>
    </row>
    <row r="16" spans="1:29" ht="12.75">
      <c r="A16" s="224" t="s">
        <v>59</v>
      </c>
      <c r="B16" s="312">
        <v>211</v>
      </c>
      <c r="C16" s="219">
        <f>(C12+C14)/29.3*42/12</f>
        <v>3626.62</v>
      </c>
      <c r="D16" s="219">
        <f>(D12+D14)/29.3*42/12</f>
        <v>2047.87</v>
      </c>
      <c r="E16" s="219">
        <f>(E12+E14)/29.3*42/12</f>
        <v>819.15</v>
      </c>
      <c r="F16" s="219">
        <f>(F12+F14)/29.3*42/12</f>
        <v>604.44</v>
      </c>
      <c r="G16" s="218">
        <f aca="true" t="shared" si="3" ref="G16:AB16">(G12+G14)/29.3*42/12</f>
        <v>0</v>
      </c>
      <c r="H16" s="219">
        <f t="shared" si="3"/>
        <v>0</v>
      </c>
      <c r="I16" s="220">
        <f t="shared" si="3"/>
        <v>0</v>
      </c>
      <c r="J16" s="218">
        <f t="shared" si="3"/>
        <v>0</v>
      </c>
      <c r="K16" s="220">
        <f t="shared" si="3"/>
        <v>0</v>
      </c>
      <c r="L16" s="218">
        <f t="shared" si="3"/>
        <v>0</v>
      </c>
      <c r="M16" s="219">
        <f t="shared" si="3"/>
        <v>0</v>
      </c>
      <c r="N16" s="219">
        <f t="shared" si="3"/>
        <v>0</v>
      </c>
      <c r="O16" s="219">
        <f t="shared" si="3"/>
        <v>0</v>
      </c>
      <c r="P16" s="219">
        <f t="shared" si="3"/>
        <v>0</v>
      </c>
      <c r="Q16" s="219">
        <f t="shared" si="3"/>
        <v>0</v>
      </c>
      <c r="R16" s="219">
        <f t="shared" si="3"/>
        <v>0</v>
      </c>
      <c r="S16" s="219">
        <f t="shared" si="3"/>
        <v>0</v>
      </c>
      <c r="T16" s="219">
        <f t="shared" si="3"/>
        <v>0</v>
      </c>
      <c r="U16" s="219">
        <f t="shared" si="3"/>
        <v>0</v>
      </c>
      <c r="V16" s="219">
        <f t="shared" si="3"/>
        <v>0</v>
      </c>
      <c r="W16" s="219">
        <f t="shared" si="3"/>
        <v>0</v>
      </c>
      <c r="X16" s="219">
        <f t="shared" si="3"/>
        <v>0</v>
      </c>
      <c r="Y16" s="219">
        <f t="shared" si="3"/>
        <v>0</v>
      </c>
      <c r="Z16" s="219">
        <f t="shared" si="3"/>
        <v>0</v>
      </c>
      <c r="AA16" s="219">
        <f t="shared" si="3"/>
        <v>0</v>
      </c>
      <c r="AB16" s="219">
        <f t="shared" si="3"/>
        <v>0</v>
      </c>
      <c r="AC16" s="219">
        <f t="shared" si="1"/>
        <v>7098.08</v>
      </c>
    </row>
    <row r="17" spans="1:29" ht="12.75">
      <c r="A17" s="224" t="s">
        <v>24</v>
      </c>
      <c r="B17" s="312">
        <v>213</v>
      </c>
      <c r="C17" s="219">
        <f>C16*0.302</f>
        <v>1095.24</v>
      </c>
      <c r="D17" s="219">
        <f>D16*0.302</f>
        <v>618.46</v>
      </c>
      <c r="E17" s="219">
        <f>E16*0.302</f>
        <v>247.38</v>
      </c>
      <c r="F17" s="219">
        <f>F16*0.302</f>
        <v>182.54</v>
      </c>
      <c r="G17" s="218">
        <f aca="true" t="shared" si="4" ref="G17:AB17">G16*0.302</f>
        <v>0</v>
      </c>
      <c r="H17" s="219">
        <f t="shared" si="4"/>
        <v>0</v>
      </c>
      <c r="I17" s="220">
        <f t="shared" si="4"/>
        <v>0</v>
      </c>
      <c r="J17" s="218">
        <f t="shared" si="4"/>
        <v>0</v>
      </c>
      <c r="K17" s="220">
        <f t="shared" si="4"/>
        <v>0</v>
      </c>
      <c r="L17" s="218">
        <f t="shared" si="4"/>
        <v>0</v>
      </c>
      <c r="M17" s="219">
        <f t="shared" si="4"/>
        <v>0</v>
      </c>
      <c r="N17" s="219">
        <f t="shared" si="4"/>
        <v>0</v>
      </c>
      <c r="O17" s="219">
        <f t="shared" si="4"/>
        <v>0</v>
      </c>
      <c r="P17" s="219">
        <f t="shared" si="4"/>
        <v>0</v>
      </c>
      <c r="Q17" s="219">
        <f t="shared" si="4"/>
        <v>0</v>
      </c>
      <c r="R17" s="219">
        <f t="shared" si="4"/>
        <v>0</v>
      </c>
      <c r="S17" s="219">
        <f t="shared" si="4"/>
        <v>0</v>
      </c>
      <c r="T17" s="219">
        <f t="shared" si="4"/>
        <v>0</v>
      </c>
      <c r="U17" s="219">
        <f t="shared" si="4"/>
        <v>0</v>
      </c>
      <c r="V17" s="219">
        <f t="shared" si="4"/>
        <v>0</v>
      </c>
      <c r="W17" s="219">
        <f t="shared" si="4"/>
        <v>0</v>
      </c>
      <c r="X17" s="219">
        <f t="shared" si="4"/>
        <v>0</v>
      </c>
      <c r="Y17" s="219">
        <f t="shared" si="4"/>
        <v>0</v>
      </c>
      <c r="Z17" s="219">
        <f t="shared" si="4"/>
        <v>0</v>
      </c>
      <c r="AA17" s="219">
        <f t="shared" si="4"/>
        <v>0</v>
      </c>
      <c r="AB17" s="219">
        <f t="shared" si="4"/>
        <v>0</v>
      </c>
      <c r="AC17" s="219">
        <f t="shared" si="1"/>
        <v>2143.62</v>
      </c>
    </row>
    <row r="18" spans="1:29" ht="13.5" thickBot="1">
      <c r="A18" s="224" t="s">
        <v>60</v>
      </c>
      <c r="B18" s="485">
        <v>340</v>
      </c>
      <c r="C18" s="219">
        <v>0</v>
      </c>
      <c r="D18" s="219"/>
      <c r="E18" s="220"/>
      <c r="F18" s="218"/>
      <c r="G18" s="218"/>
      <c r="H18" s="219"/>
      <c r="I18" s="220"/>
      <c r="J18" s="218"/>
      <c r="K18" s="220"/>
      <c r="L18" s="218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>
        <f t="shared" si="1"/>
        <v>0</v>
      </c>
    </row>
    <row r="19" spans="1:30" ht="13.5" thickBot="1">
      <c r="A19" s="204" t="s">
        <v>25</v>
      </c>
      <c r="B19" s="483"/>
      <c r="C19" s="227">
        <f aca="true" t="shared" si="5" ref="C19:AC19">SUM(C12:C18)</f>
        <v>44250.58</v>
      </c>
      <c r="D19" s="228">
        <f t="shared" si="5"/>
        <v>24987.34</v>
      </c>
      <c r="E19" s="229">
        <f t="shared" si="5"/>
        <v>9994.93</v>
      </c>
      <c r="F19" s="227">
        <f t="shared" si="5"/>
        <v>7375.1</v>
      </c>
      <c r="G19" s="227">
        <f t="shared" si="5"/>
        <v>0</v>
      </c>
      <c r="H19" s="228">
        <f t="shared" si="5"/>
        <v>0</v>
      </c>
      <c r="I19" s="229">
        <f t="shared" si="5"/>
        <v>0</v>
      </c>
      <c r="J19" s="227">
        <f t="shared" si="5"/>
        <v>0</v>
      </c>
      <c r="K19" s="229">
        <f t="shared" si="5"/>
        <v>0</v>
      </c>
      <c r="L19" s="227">
        <f t="shared" si="5"/>
        <v>0</v>
      </c>
      <c r="M19" s="228">
        <f t="shared" si="5"/>
        <v>0</v>
      </c>
      <c r="N19" s="228">
        <f t="shared" si="5"/>
        <v>0</v>
      </c>
      <c r="O19" s="228">
        <f t="shared" si="5"/>
        <v>0</v>
      </c>
      <c r="P19" s="228">
        <f t="shared" si="5"/>
        <v>0</v>
      </c>
      <c r="Q19" s="228">
        <f t="shared" si="5"/>
        <v>0</v>
      </c>
      <c r="R19" s="228">
        <f t="shared" si="5"/>
        <v>0</v>
      </c>
      <c r="S19" s="228">
        <f t="shared" si="5"/>
        <v>0</v>
      </c>
      <c r="T19" s="228">
        <f t="shared" si="5"/>
        <v>0</v>
      </c>
      <c r="U19" s="228">
        <f t="shared" si="5"/>
        <v>0</v>
      </c>
      <c r="V19" s="228">
        <f t="shared" si="5"/>
        <v>0</v>
      </c>
      <c r="W19" s="228">
        <f t="shared" si="5"/>
        <v>0</v>
      </c>
      <c r="X19" s="228">
        <f t="shared" si="5"/>
        <v>0</v>
      </c>
      <c r="Y19" s="228">
        <f t="shared" si="5"/>
        <v>0</v>
      </c>
      <c r="Z19" s="228">
        <f t="shared" si="5"/>
        <v>0</v>
      </c>
      <c r="AA19" s="228">
        <f t="shared" si="5"/>
        <v>0</v>
      </c>
      <c r="AB19" s="228">
        <f t="shared" si="5"/>
        <v>0</v>
      </c>
      <c r="AC19" s="228">
        <f t="shared" si="5"/>
        <v>86607.95</v>
      </c>
      <c r="AD19" s="221">
        <f>AC19+AC30+AC31+AC34+AC35+AC36+AC37</f>
        <v>101762.99</v>
      </c>
    </row>
    <row r="20" spans="1:29" ht="18" customHeight="1">
      <c r="A20" s="230" t="s">
        <v>26</v>
      </c>
      <c r="B20" s="231"/>
      <c r="C20" s="213"/>
      <c r="D20" s="214"/>
      <c r="E20" s="215"/>
      <c r="F20" s="213"/>
      <c r="G20" s="213"/>
      <c r="H20" s="214"/>
      <c r="I20" s="215"/>
      <c r="J20" s="213"/>
      <c r="K20" s="215"/>
      <c r="L20" s="213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9">
        <f aca="true" t="shared" si="6" ref="AC20:AC27">SUM(C20:AB20)</f>
        <v>0</v>
      </c>
    </row>
    <row r="21" spans="1:30" ht="12.75">
      <c r="A21" s="217" t="s">
        <v>27</v>
      </c>
      <c r="B21" s="7">
        <v>221</v>
      </c>
      <c r="C21" s="218">
        <f>'расчет%'!$H8*C10%</f>
        <v>140.81</v>
      </c>
      <c r="D21" s="219">
        <f>'расчет%'!$H8*D10%</f>
        <v>78.22</v>
      </c>
      <c r="E21" s="220">
        <f>'расчет%'!$H8*E10%</f>
        <v>31.29</v>
      </c>
      <c r="F21" s="218">
        <f>'расчет%'!$H8*F10%</f>
        <v>23.46</v>
      </c>
      <c r="G21" s="218">
        <f>'расчет%'!$H8*G10%</f>
        <v>0</v>
      </c>
      <c r="H21" s="219">
        <f>'расчет%'!$H8*H10%</f>
        <v>0</v>
      </c>
      <c r="I21" s="220">
        <f>'расчет%'!$H8*I10%</f>
        <v>0</v>
      </c>
      <c r="J21" s="218">
        <f>'расчет%'!$H8*J10%</f>
        <v>0</v>
      </c>
      <c r="K21" s="220">
        <f>'расчет%'!$H8*K10%</f>
        <v>0</v>
      </c>
      <c r="L21" s="218">
        <f>'расчет%'!$H8*L10%</f>
        <v>0</v>
      </c>
      <c r="M21" s="219">
        <f>'расчет%'!$H8*M10%</f>
        <v>0</v>
      </c>
      <c r="N21" s="219">
        <f>'расчет%'!$H8*N10%</f>
        <v>0</v>
      </c>
      <c r="O21" s="219">
        <f>'расчет%'!$H8*O10%</f>
        <v>0</v>
      </c>
      <c r="P21" s="219">
        <f>'расчет%'!$H8*P10%</f>
        <v>0</v>
      </c>
      <c r="Q21" s="219">
        <f>'расчет%'!$H8*Q10%</f>
        <v>0</v>
      </c>
      <c r="R21" s="219">
        <f>'расчет%'!$H8*R10%</f>
        <v>0</v>
      </c>
      <c r="S21" s="219">
        <f>'расчет%'!$H8*S10%</f>
        <v>0</v>
      </c>
      <c r="T21" s="219">
        <f>'расчет%'!$H8*T10%</f>
        <v>0</v>
      </c>
      <c r="U21" s="219">
        <f>'расчет%'!$H8*U10%</f>
        <v>0</v>
      </c>
      <c r="V21" s="219">
        <f>'расчет%'!$H8*V10%</f>
        <v>0</v>
      </c>
      <c r="W21" s="219">
        <f>'расчет%'!$H8*W10%</f>
        <v>0</v>
      </c>
      <c r="X21" s="219">
        <f>'расчет%'!$H8*X10%</f>
        <v>0</v>
      </c>
      <c r="Y21" s="219">
        <f>'расчет%'!$H8*Y10%</f>
        <v>0</v>
      </c>
      <c r="Z21" s="219">
        <f>'расчет%'!$H8*Z10%</f>
        <v>0</v>
      </c>
      <c r="AA21" s="219">
        <f>'расчет%'!$H8*AA10%</f>
        <v>0</v>
      </c>
      <c r="AB21" s="219">
        <f>'расчет%'!$H8*AB10%</f>
        <v>0</v>
      </c>
      <c r="AC21" s="219">
        <f t="shared" si="6"/>
        <v>273.78</v>
      </c>
      <c r="AD21" s="221"/>
    </row>
    <row r="22" spans="1:29" ht="12.75">
      <c r="A22" s="217" t="s">
        <v>28</v>
      </c>
      <c r="B22" s="7">
        <v>222</v>
      </c>
      <c r="C22" s="218">
        <v>0</v>
      </c>
      <c r="D22" s="219"/>
      <c r="E22" s="220"/>
      <c r="F22" s="218"/>
      <c r="G22" s="218"/>
      <c r="H22" s="219"/>
      <c r="I22" s="220"/>
      <c r="J22" s="218"/>
      <c r="K22" s="220"/>
      <c r="L22" s="218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>
        <f t="shared" si="6"/>
        <v>0</v>
      </c>
    </row>
    <row r="23" spans="1:29" ht="12.75">
      <c r="A23" s="217" t="s">
        <v>29</v>
      </c>
      <c r="B23" s="7">
        <v>223</v>
      </c>
      <c r="C23" s="218">
        <f>'расчет%'!$H9*C10%</f>
        <v>6596.76</v>
      </c>
      <c r="D23" s="219">
        <f>'расчет%'!$H9*D10%</f>
        <v>3664.58</v>
      </c>
      <c r="E23" s="220">
        <f>'расчет%'!$H9*E10%</f>
        <v>1466.09</v>
      </c>
      <c r="F23" s="218">
        <f>'расчет%'!$H9*F10%</f>
        <v>1099.25</v>
      </c>
      <c r="G23" s="218">
        <f>'расчет%'!$H9*G10%</f>
        <v>0</v>
      </c>
      <c r="H23" s="219">
        <f>'расчет%'!$H9*H10%</f>
        <v>0</v>
      </c>
      <c r="I23" s="220">
        <f>'расчет%'!$H9*I10%</f>
        <v>0</v>
      </c>
      <c r="J23" s="218">
        <f>'расчет%'!$H9*J10%</f>
        <v>0</v>
      </c>
      <c r="K23" s="220">
        <f>'расчет%'!$H9*K10%</f>
        <v>0</v>
      </c>
      <c r="L23" s="218">
        <f>'расчет%'!$H9*L10%</f>
        <v>0</v>
      </c>
      <c r="M23" s="219">
        <f>'расчет%'!$H9*M10%</f>
        <v>0</v>
      </c>
      <c r="N23" s="219">
        <f>'расчет%'!$H9*N10%</f>
        <v>0</v>
      </c>
      <c r="O23" s="219">
        <f>'расчет%'!$H9*O10%</f>
        <v>0</v>
      </c>
      <c r="P23" s="219">
        <f>'расчет%'!$H9*P10%</f>
        <v>0</v>
      </c>
      <c r="Q23" s="219">
        <f>'расчет%'!$H9*Q10%</f>
        <v>0</v>
      </c>
      <c r="R23" s="219">
        <f>'расчет%'!$H9*R10%</f>
        <v>0</v>
      </c>
      <c r="S23" s="219">
        <f>'расчет%'!$H9*S10%</f>
        <v>0</v>
      </c>
      <c r="T23" s="219">
        <f>'расчет%'!$H9*T10%</f>
        <v>0</v>
      </c>
      <c r="U23" s="219">
        <f>'расчет%'!$H9*U10%</f>
        <v>0</v>
      </c>
      <c r="V23" s="219">
        <f>'расчет%'!$H9*V10%</f>
        <v>0</v>
      </c>
      <c r="W23" s="219">
        <f>'расчет%'!$H9*W10%</f>
        <v>0</v>
      </c>
      <c r="X23" s="219">
        <f>'расчет%'!$H9*X10%</f>
        <v>0</v>
      </c>
      <c r="Y23" s="219">
        <f>'расчет%'!$H9*Y10%</f>
        <v>0</v>
      </c>
      <c r="Z23" s="219">
        <f>'расчет%'!$H9*Z10%</f>
        <v>0</v>
      </c>
      <c r="AA23" s="219">
        <f>'расчет%'!$H9*AA10%</f>
        <v>0</v>
      </c>
      <c r="AB23" s="219">
        <f>'расчет%'!$H9*AB10%</f>
        <v>0</v>
      </c>
      <c r="AC23" s="219">
        <f t="shared" si="6"/>
        <v>12826.68</v>
      </c>
    </row>
    <row r="24" spans="1:29" ht="12.75">
      <c r="A24" s="217" t="s">
        <v>159</v>
      </c>
      <c r="B24" s="7">
        <v>225</v>
      </c>
      <c r="C24" s="218">
        <f>'расчет%'!$H10*C10%</f>
        <v>1022.39</v>
      </c>
      <c r="D24" s="219">
        <f>'расчет%'!$H10*D10%</f>
        <v>567.95</v>
      </c>
      <c r="E24" s="220">
        <f>'расчет%'!$H10*E10%</f>
        <v>227.22</v>
      </c>
      <c r="F24" s="218">
        <f>'расчет%'!$H10*F10%</f>
        <v>170.37</v>
      </c>
      <c r="G24" s="218">
        <f>'расчет%'!$H10*G10%</f>
        <v>0</v>
      </c>
      <c r="H24" s="219">
        <f>'расчет%'!$H10*H10%</f>
        <v>0</v>
      </c>
      <c r="I24" s="220">
        <f>'расчет%'!$H10*I10%</f>
        <v>0</v>
      </c>
      <c r="J24" s="218">
        <f>'расчет%'!$H10*J10%</f>
        <v>0</v>
      </c>
      <c r="K24" s="220">
        <f>'расчет%'!$H10*K10%</f>
        <v>0</v>
      </c>
      <c r="L24" s="218">
        <f>'расчет%'!$H10*L10%</f>
        <v>0</v>
      </c>
      <c r="M24" s="219">
        <f>'расчет%'!$H10*M10%</f>
        <v>0</v>
      </c>
      <c r="N24" s="219">
        <f>'расчет%'!$H10*N10%</f>
        <v>0</v>
      </c>
      <c r="O24" s="219">
        <f>'расчет%'!$H10*O10%</f>
        <v>0</v>
      </c>
      <c r="P24" s="219">
        <f>'расчет%'!$H10*P10%</f>
        <v>0</v>
      </c>
      <c r="Q24" s="219">
        <f>'расчет%'!$H10*Q10%</f>
        <v>0</v>
      </c>
      <c r="R24" s="219">
        <f>'расчет%'!$H10*R10%</f>
        <v>0</v>
      </c>
      <c r="S24" s="219">
        <f>'расчет%'!$H10*S10%</f>
        <v>0</v>
      </c>
      <c r="T24" s="219">
        <f>'расчет%'!$H10*T10%</f>
        <v>0</v>
      </c>
      <c r="U24" s="219">
        <f>'расчет%'!$H10*U10%</f>
        <v>0</v>
      </c>
      <c r="V24" s="219">
        <f>'расчет%'!$H10*V10%</f>
        <v>0</v>
      </c>
      <c r="W24" s="219">
        <f>'расчет%'!$H10*W10%</f>
        <v>0</v>
      </c>
      <c r="X24" s="219">
        <f>'расчет%'!$H10*X10%</f>
        <v>0</v>
      </c>
      <c r="Y24" s="219">
        <f>'расчет%'!$H10*Y10%</f>
        <v>0</v>
      </c>
      <c r="Z24" s="219">
        <f>'расчет%'!$H10*Z10%</f>
        <v>0</v>
      </c>
      <c r="AA24" s="219">
        <f>'расчет%'!$H10*AA10%</f>
        <v>0</v>
      </c>
      <c r="AB24" s="219">
        <f>'расчет%'!$H10*AB10%</f>
        <v>0</v>
      </c>
      <c r="AC24" s="219">
        <f t="shared" si="6"/>
        <v>1987.93</v>
      </c>
    </row>
    <row r="25" spans="1:29" ht="12.75">
      <c r="A25" s="330" t="s">
        <v>183</v>
      </c>
      <c r="B25" s="7">
        <v>225</v>
      </c>
      <c r="C25" s="218"/>
      <c r="D25" s="219"/>
      <c r="E25" s="220"/>
      <c r="F25" s="218"/>
      <c r="G25" s="218"/>
      <c r="H25" s="219"/>
      <c r="I25" s="220"/>
      <c r="J25" s="218"/>
      <c r="K25" s="220"/>
      <c r="L25" s="218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>
        <f t="shared" si="6"/>
        <v>0</v>
      </c>
    </row>
    <row r="26" spans="1:29" ht="12.75">
      <c r="A26" s="224" t="s">
        <v>60</v>
      </c>
      <c r="B26" s="7">
        <v>346</v>
      </c>
      <c r="C26" s="218"/>
      <c r="D26" s="219"/>
      <c r="E26" s="220"/>
      <c r="F26" s="218"/>
      <c r="G26" s="218"/>
      <c r="H26" s="219"/>
      <c r="I26" s="220"/>
      <c r="J26" s="218"/>
      <c r="K26" s="220"/>
      <c r="L26" s="218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>
        <f t="shared" si="6"/>
        <v>0</v>
      </c>
    </row>
    <row r="27" spans="1:29" ht="13.5" thickBot="1">
      <c r="A27" s="217" t="s">
        <v>30</v>
      </c>
      <c r="B27" s="7"/>
      <c r="C27" s="218"/>
      <c r="D27" s="219"/>
      <c r="E27" s="220"/>
      <c r="F27" s="218"/>
      <c r="G27" s="218"/>
      <c r="H27" s="219"/>
      <c r="I27" s="220"/>
      <c r="J27" s="218"/>
      <c r="K27" s="220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>
        <f t="shared" si="6"/>
        <v>0</v>
      </c>
    </row>
    <row r="28" spans="1:29" ht="13.5" thickBot="1">
      <c r="A28" s="204" t="s">
        <v>31</v>
      </c>
      <c r="B28" s="226"/>
      <c r="C28" s="227">
        <f aca="true" t="shared" si="7" ref="C28:AC28">SUM(C21:C26)</f>
        <v>7759.96</v>
      </c>
      <c r="D28" s="228">
        <f t="shared" si="7"/>
        <v>4310.75</v>
      </c>
      <c r="E28" s="229">
        <f t="shared" si="7"/>
        <v>1724.6</v>
      </c>
      <c r="F28" s="227">
        <f t="shared" si="7"/>
        <v>1293.08</v>
      </c>
      <c r="G28" s="227">
        <f t="shared" si="7"/>
        <v>0</v>
      </c>
      <c r="H28" s="228">
        <f t="shared" si="7"/>
        <v>0</v>
      </c>
      <c r="I28" s="229">
        <f t="shared" si="7"/>
        <v>0</v>
      </c>
      <c r="J28" s="227">
        <f t="shared" si="7"/>
        <v>0</v>
      </c>
      <c r="K28" s="229">
        <f t="shared" si="7"/>
        <v>0</v>
      </c>
      <c r="L28" s="227">
        <f t="shared" si="7"/>
        <v>0</v>
      </c>
      <c r="M28" s="228">
        <f t="shared" si="7"/>
        <v>0</v>
      </c>
      <c r="N28" s="228">
        <f t="shared" si="7"/>
        <v>0</v>
      </c>
      <c r="O28" s="228">
        <f t="shared" si="7"/>
        <v>0</v>
      </c>
      <c r="P28" s="228">
        <f t="shared" si="7"/>
        <v>0</v>
      </c>
      <c r="Q28" s="228">
        <f t="shared" si="7"/>
        <v>0</v>
      </c>
      <c r="R28" s="228">
        <f t="shared" si="7"/>
        <v>0</v>
      </c>
      <c r="S28" s="228">
        <f t="shared" si="7"/>
        <v>0</v>
      </c>
      <c r="T28" s="228">
        <f t="shared" si="7"/>
        <v>0</v>
      </c>
      <c r="U28" s="228">
        <f t="shared" si="7"/>
        <v>0</v>
      </c>
      <c r="V28" s="228">
        <f t="shared" si="7"/>
        <v>0</v>
      </c>
      <c r="W28" s="228">
        <f t="shared" si="7"/>
        <v>0</v>
      </c>
      <c r="X28" s="228">
        <f t="shared" si="7"/>
        <v>0</v>
      </c>
      <c r="Y28" s="228">
        <f t="shared" si="7"/>
        <v>0</v>
      </c>
      <c r="Z28" s="228">
        <f t="shared" si="7"/>
        <v>0</v>
      </c>
      <c r="AA28" s="228">
        <f t="shared" si="7"/>
        <v>0</v>
      </c>
      <c r="AB28" s="228">
        <f t="shared" si="7"/>
        <v>0</v>
      </c>
      <c r="AC28" s="228">
        <f t="shared" si="7"/>
        <v>15088.39</v>
      </c>
    </row>
    <row r="29" spans="1:29" ht="12.75">
      <c r="A29" s="232" t="s">
        <v>32</v>
      </c>
      <c r="B29" s="223"/>
      <c r="C29" s="218"/>
      <c r="D29" s="219"/>
      <c r="E29" s="220"/>
      <c r="F29" s="218"/>
      <c r="G29" s="218"/>
      <c r="H29" s="219"/>
      <c r="I29" s="220"/>
      <c r="J29" s="218"/>
      <c r="K29" s="220"/>
      <c r="L29" s="218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>
        <f>SUM(C29:AB29)</f>
        <v>0</v>
      </c>
    </row>
    <row r="30" spans="1:29" ht="17.25" customHeight="1">
      <c r="A30" s="233" t="s">
        <v>149</v>
      </c>
      <c r="B30" s="7">
        <v>211</v>
      </c>
      <c r="C30" s="218">
        <f>C12*'тарификация '!$Q468/'тарификация '!$Q450</f>
        <v>4406.77</v>
      </c>
      <c r="D30" s="219">
        <f>D12*'тарификация '!$Q468/'тарификация '!$Q450</f>
        <v>2488.41</v>
      </c>
      <c r="E30" s="220">
        <f>E12*'тарификация '!$Q468/'тарификация '!$Q450</f>
        <v>995.36</v>
      </c>
      <c r="F30" s="218">
        <f>F12*'тарификация '!$Q468/'тарификация '!$Q450</f>
        <v>734.46</v>
      </c>
      <c r="G30" s="218">
        <f>G12*'тарификация '!$Q468/'тарификация '!$Q450</f>
        <v>0</v>
      </c>
      <c r="H30" s="219">
        <f>H12*'тарификация '!$Q468/'тарификация '!$Q450</f>
        <v>0</v>
      </c>
      <c r="I30" s="220">
        <f>I12*'тарификация '!$Q468/'тарификация '!$Q450</f>
        <v>0</v>
      </c>
      <c r="J30" s="218">
        <f>J12*'тарификация '!$Q468/'тарификация '!$Q450</f>
        <v>0</v>
      </c>
      <c r="K30" s="220">
        <f>K12*'тарификация '!$Q468/'тарификация '!$Q450</f>
        <v>0</v>
      </c>
      <c r="L30" s="218">
        <f>L12*'тарификация '!$Q468/'тарификация '!$Q450</f>
        <v>0</v>
      </c>
      <c r="M30" s="219">
        <f>M12*'тарификация '!$Q468/'тарификация '!$Q450</f>
        <v>0</v>
      </c>
      <c r="N30" s="219">
        <f>N12*'тарификация '!$Q468/'тарификация '!$Q450</f>
        <v>0</v>
      </c>
      <c r="O30" s="219">
        <f>O12*'тарификация '!$Q468/'тарификация '!$Q450</f>
        <v>0</v>
      </c>
      <c r="P30" s="219">
        <f>P12*'тарификация '!$Q468/'тарификация '!$Q450</f>
        <v>0</v>
      </c>
      <c r="Q30" s="219">
        <f>Q12*'тарификация '!$Q468/'тарификация '!$Q450</f>
        <v>0</v>
      </c>
      <c r="R30" s="219">
        <f>R12*'тарификация '!$Q468/'тарификация '!$Q450</f>
        <v>0</v>
      </c>
      <c r="S30" s="219">
        <f>S12*'тарификация '!$Q468/'тарификация '!$Q450</f>
        <v>0</v>
      </c>
      <c r="T30" s="219">
        <f>T12*'тарификация '!$Q468/'тарификация '!$Q450</f>
        <v>0</v>
      </c>
      <c r="U30" s="219">
        <f>U12*'тарификация '!$Q468/'тарификация '!$Q450</f>
        <v>0</v>
      </c>
      <c r="V30" s="219">
        <f>V12*'тарификация '!$Q468/'тарификация '!$Q450</f>
        <v>0</v>
      </c>
      <c r="W30" s="219">
        <f>W12*'тарификация '!$Q468/'тарификация '!$Q450</f>
        <v>0</v>
      </c>
      <c r="X30" s="219">
        <f>X12*'тарификация '!$Q468/'тарификация '!$Q450</f>
        <v>0</v>
      </c>
      <c r="Y30" s="219">
        <f>Y12*'тарификация '!$Q468/'тарификация '!$Q450</f>
        <v>0</v>
      </c>
      <c r="Z30" s="219">
        <f>Z12*'тарификация '!$Q468/'тарификация '!$Q450</f>
        <v>0</v>
      </c>
      <c r="AA30" s="219">
        <f>AA12*'тарификация '!$Q468/'тарификация '!$Q450</f>
        <v>0</v>
      </c>
      <c r="AB30" s="219">
        <f>AB12*'тарификация '!$Q468/'тарификация '!$Q450</f>
        <v>0</v>
      </c>
      <c r="AC30" s="219">
        <f>SUM(C30:AB30)</f>
        <v>8625</v>
      </c>
    </row>
    <row r="31" spans="1:29" ht="12.75">
      <c r="A31" s="217" t="s">
        <v>150</v>
      </c>
      <c r="B31" s="7">
        <v>213</v>
      </c>
      <c r="C31" s="218">
        <f>C30*0.302</f>
        <v>1330.84</v>
      </c>
      <c r="D31" s="219">
        <f>D30*0.302</f>
        <v>751.5</v>
      </c>
      <c r="E31" s="220">
        <f>E30*0.302</f>
        <v>300.6</v>
      </c>
      <c r="F31" s="218">
        <f>F30*0.302</f>
        <v>221.81</v>
      </c>
      <c r="G31" s="218">
        <f aca="true" t="shared" si="8" ref="G31:AB31">G30*0.302</f>
        <v>0</v>
      </c>
      <c r="H31" s="219">
        <f t="shared" si="8"/>
        <v>0</v>
      </c>
      <c r="I31" s="220">
        <f t="shared" si="8"/>
        <v>0</v>
      </c>
      <c r="J31" s="218">
        <f t="shared" si="8"/>
        <v>0</v>
      </c>
      <c r="K31" s="220">
        <f t="shared" si="8"/>
        <v>0</v>
      </c>
      <c r="L31" s="218">
        <f t="shared" si="8"/>
        <v>0</v>
      </c>
      <c r="M31" s="219">
        <f t="shared" si="8"/>
        <v>0</v>
      </c>
      <c r="N31" s="219">
        <f t="shared" si="8"/>
        <v>0</v>
      </c>
      <c r="O31" s="219">
        <f t="shared" si="8"/>
        <v>0</v>
      </c>
      <c r="P31" s="219">
        <f t="shared" si="8"/>
        <v>0</v>
      </c>
      <c r="Q31" s="219">
        <f t="shared" si="8"/>
        <v>0</v>
      </c>
      <c r="R31" s="219">
        <f t="shared" si="8"/>
        <v>0</v>
      </c>
      <c r="S31" s="219">
        <f t="shared" si="8"/>
        <v>0</v>
      </c>
      <c r="T31" s="219">
        <f t="shared" si="8"/>
        <v>0</v>
      </c>
      <c r="U31" s="219">
        <f t="shared" si="8"/>
        <v>0</v>
      </c>
      <c r="V31" s="219">
        <f t="shared" si="8"/>
        <v>0</v>
      </c>
      <c r="W31" s="219">
        <f t="shared" si="8"/>
        <v>0</v>
      </c>
      <c r="X31" s="219">
        <f t="shared" si="8"/>
        <v>0</v>
      </c>
      <c r="Y31" s="219">
        <f t="shared" si="8"/>
        <v>0</v>
      </c>
      <c r="Z31" s="219">
        <f t="shared" si="8"/>
        <v>0</v>
      </c>
      <c r="AA31" s="219">
        <f t="shared" si="8"/>
        <v>0</v>
      </c>
      <c r="AB31" s="219">
        <f t="shared" si="8"/>
        <v>0</v>
      </c>
      <c r="AC31" s="219">
        <f aca="true" t="shared" si="9" ref="AC31:AC42">SUM(C31:AB31)</f>
        <v>2604.75</v>
      </c>
    </row>
    <row r="32" spans="1:29" ht="12.75">
      <c r="A32" s="217" t="s">
        <v>80</v>
      </c>
      <c r="B32" s="7">
        <v>211</v>
      </c>
      <c r="C32" s="218">
        <v>0</v>
      </c>
      <c r="D32" s="219">
        <v>0</v>
      </c>
      <c r="E32" s="220">
        <v>0</v>
      </c>
      <c r="F32" s="218">
        <v>0</v>
      </c>
      <c r="G32" s="218">
        <v>0</v>
      </c>
      <c r="H32" s="219">
        <v>0</v>
      </c>
      <c r="I32" s="220">
        <v>0</v>
      </c>
      <c r="J32" s="218">
        <v>0</v>
      </c>
      <c r="K32" s="220">
        <v>0</v>
      </c>
      <c r="L32" s="218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f t="shared" si="9"/>
        <v>0</v>
      </c>
    </row>
    <row r="33" spans="1:29" ht="12.75">
      <c r="A33" s="217" t="s">
        <v>33</v>
      </c>
      <c r="B33" s="7">
        <v>213</v>
      </c>
      <c r="C33" s="218">
        <f>C32*0.302</f>
        <v>0</v>
      </c>
      <c r="D33" s="219">
        <f aca="true" t="shared" si="10" ref="D33:AB33">D32*0.302</f>
        <v>0</v>
      </c>
      <c r="E33" s="220">
        <f t="shared" si="10"/>
        <v>0</v>
      </c>
      <c r="F33" s="218">
        <f t="shared" si="10"/>
        <v>0</v>
      </c>
      <c r="G33" s="218">
        <f t="shared" si="10"/>
        <v>0</v>
      </c>
      <c r="H33" s="219">
        <f t="shared" si="10"/>
        <v>0</v>
      </c>
      <c r="I33" s="220">
        <f t="shared" si="10"/>
        <v>0</v>
      </c>
      <c r="J33" s="218">
        <f t="shared" si="10"/>
        <v>0</v>
      </c>
      <c r="K33" s="220">
        <f t="shared" si="10"/>
        <v>0</v>
      </c>
      <c r="L33" s="218">
        <f t="shared" si="10"/>
        <v>0</v>
      </c>
      <c r="M33" s="219">
        <f t="shared" si="10"/>
        <v>0</v>
      </c>
      <c r="N33" s="219">
        <f t="shared" si="10"/>
        <v>0</v>
      </c>
      <c r="O33" s="219">
        <f t="shared" si="10"/>
        <v>0</v>
      </c>
      <c r="P33" s="219">
        <f t="shared" si="10"/>
        <v>0</v>
      </c>
      <c r="Q33" s="219">
        <f t="shared" si="10"/>
        <v>0</v>
      </c>
      <c r="R33" s="219">
        <f t="shared" si="10"/>
        <v>0</v>
      </c>
      <c r="S33" s="219">
        <f t="shared" si="10"/>
        <v>0</v>
      </c>
      <c r="T33" s="219">
        <f t="shared" si="10"/>
        <v>0</v>
      </c>
      <c r="U33" s="219">
        <f t="shared" si="10"/>
        <v>0</v>
      </c>
      <c r="V33" s="219">
        <f t="shared" si="10"/>
        <v>0</v>
      </c>
      <c r="W33" s="219">
        <f t="shared" si="10"/>
        <v>0</v>
      </c>
      <c r="X33" s="219">
        <f t="shared" si="10"/>
        <v>0</v>
      </c>
      <c r="Y33" s="219">
        <f t="shared" si="10"/>
        <v>0</v>
      </c>
      <c r="Z33" s="219">
        <f t="shared" si="10"/>
        <v>0</v>
      </c>
      <c r="AA33" s="219">
        <f t="shared" si="10"/>
        <v>0</v>
      </c>
      <c r="AB33" s="219">
        <f t="shared" si="10"/>
        <v>0</v>
      </c>
      <c r="AC33" s="219">
        <f t="shared" si="9"/>
        <v>0</v>
      </c>
    </row>
    <row r="34" spans="1:29" ht="12.75">
      <c r="A34" s="217" t="s">
        <v>21</v>
      </c>
      <c r="B34" s="7">
        <v>211</v>
      </c>
      <c r="C34" s="218">
        <f>(C30+C32)*'тарификация '!$S476%</f>
        <v>1101.69</v>
      </c>
      <c r="D34" s="219">
        <f>(D30+D32)*'тарификация '!$S476%</f>
        <v>622.1</v>
      </c>
      <c r="E34" s="220">
        <f>(E30+E32)*'тарификация '!$S476%</f>
        <v>248.84</v>
      </c>
      <c r="F34" s="218">
        <f>(F30+F32)*'тарификация '!$S476%</f>
        <v>183.62</v>
      </c>
      <c r="G34" s="218">
        <f>(G30+G32)*'тарификация '!$S476%</f>
        <v>0</v>
      </c>
      <c r="H34" s="219">
        <f>(H30+H32)*'тарификация '!$S476%</f>
        <v>0</v>
      </c>
      <c r="I34" s="220">
        <f>(I30+I32)*'тарификация '!$S476%</f>
        <v>0</v>
      </c>
      <c r="J34" s="218">
        <f>(J30+J32)*'тарификация '!$S476%</f>
        <v>0</v>
      </c>
      <c r="K34" s="220">
        <f>(K30+K32)*'тарификация '!$S476%</f>
        <v>0</v>
      </c>
      <c r="L34" s="218">
        <f>(L30+L32)*'тарификация '!$S476%</f>
        <v>0</v>
      </c>
      <c r="M34" s="219">
        <f>(M30+M32)*'тарификация '!$S476%</f>
        <v>0</v>
      </c>
      <c r="N34" s="219">
        <f>(N30+N32)*'тарификация '!$S476%</f>
        <v>0</v>
      </c>
      <c r="O34" s="219">
        <f>(O30+O32)*'тарификация '!$S476%</f>
        <v>0</v>
      </c>
      <c r="P34" s="219">
        <f>(P30+P32)*'тарификация '!$S476%</f>
        <v>0</v>
      </c>
      <c r="Q34" s="219">
        <f>(Q30+Q32)*'тарификация '!$S476%</f>
        <v>0</v>
      </c>
      <c r="R34" s="219">
        <f>(R30+R32)*'тарификация '!$S476%</f>
        <v>0</v>
      </c>
      <c r="S34" s="219">
        <f>(S30+S32)*'тарификация '!$S476%</f>
        <v>0</v>
      </c>
      <c r="T34" s="219">
        <f>(T30+T32)*'тарификация '!$S476%</f>
        <v>0</v>
      </c>
      <c r="U34" s="219">
        <f>(U30+U32)*'тарификация '!$S476%</f>
        <v>0</v>
      </c>
      <c r="V34" s="219">
        <f>(V30+V32)*'тарификация '!$S476%</f>
        <v>0</v>
      </c>
      <c r="W34" s="219">
        <f>(W30+W32)*'тарификация '!$S476%</f>
        <v>0</v>
      </c>
      <c r="X34" s="219">
        <f>(X30+X32)*'тарификация '!$S476%</f>
        <v>0</v>
      </c>
      <c r="Y34" s="219">
        <f>(Y30+Y32)*'тарификация '!$S476%</f>
        <v>0</v>
      </c>
      <c r="Z34" s="219">
        <f>(Z30+Z32)*'тарификация '!$S476%</f>
        <v>0</v>
      </c>
      <c r="AA34" s="219">
        <f>(AA30+AA32)*'тарификация '!$S476%</f>
        <v>0</v>
      </c>
      <c r="AB34" s="219">
        <f>(AB30+AB32)*'тарификация '!$S476%</f>
        <v>0</v>
      </c>
      <c r="AC34" s="219">
        <f t="shared" si="9"/>
        <v>2156.25</v>
      </c>
    </row>
    <row r="35" spans="1:29" ht="12.75">
      <c r="A35" s="222" t="s">
        <v>22</v>
      </c>
      <c r="B35" s="223">
        <v>213</v>
      </c>
      <c r="C35" s="218">
        <f>C34*0.302</f>
        <v>332.71</v>
      </c>
      <c r="D35" s="219">
        <f aca="true" t="shared" si="11" ref="D35:AB35">D34*0.302</f>
        <v>187.87</v>
      </c>
      <c r="E35" s="220">
        <f t="shared" si="11"/>
        <v>75.15</v>
      </c>
      <c r="F35" s="218">
        <f t="shared" si="11"/>
        <v>55.45</v>
      </c>
      <c r="G35" s="218">
        <f t="shared" si="11"/>
        <v>0</v>
      </c>
      <c r="H35" s="219">
        <f t="shared" si="11"/>
        <v>0</v>
      </c>
      <c r="I35" s="220">
        <f t="shared" si="11"/>
        <v>0</v>
      </c>
      <c r="J35" s="218">
        <f t="shared" si="11"/>
        <v>0</v>
      </c>
      <c r="K35" s="220">
        <f t="shared" si="11"/>
        <v>0</v>
      </c>
      <c r="L35" s="218">
        <f t="shared" si="11"/>
        <v>0</v>
      </c>
      <c r="M35" s="219">
        <f t="shared" si="11"/>
        <v>0</v>
      </c>
      <c r="N35" s="219">
        <f t="shared" si="11"/>
        <v>0</v>
      </c>
      <c r="O35" s="219">
        <f t="shared" si="11"/>
        <v>0</v>
      </c>
      <c r="P35" s="219">
        <f t="shared" si="11"/>
        <v>0</v>
      </c>
      <c r="Q35" s="219">
        <f t="shared" si="11"/>
        <v>0</v>
      </c>
      <c r="R35" s="219">
        <f t="shared" si="11"/>
        <v>0</v>
      </c>
      <c r="S35" s="219">
        <f t="shared" si="11"/>
        <v>0</v>
      </c>
      <c r="T35" s="219">
        <f t="shared" si="11"/>
        <v>0</v>
      </c>
      <c r="U35" s="219">
        <f t="shared" si="11"/>
        <v>0</v>
      </c>
      <c r="V35" s="219">
        <f t="shared" si="11"/>
        <v>0</v>
      </c>
      <c r="W35" s="219">
        <f t="shared" si="11"/>
        <v>0</v>
      </c>
      <c r="X35" s="219">
        <f t="shared" si="11"/>
        <v>0</v>
      </c>
      <c r="Y35" s="219">
        <f t="shared" si="11"/>
        <v>0</v>
      </c>
      <c r="Z35" s="219">
        <f t="shared" si="11"/>
        <v>0</v>
      </c>
      <c r="AA35" s="219">
        <f t="shared" si="11"/>
        <v>0</v>
      </c>
      <c r="AB35" s="219">
        <f t="shared" si="11"/>
        <v>0</v>
      </c>
      <c r="AC35" s="219">
        <f t="shared" si="9"/>
        <v>651.18</v>
      </c>
    </row>
    <row r="36" spans="1:29" ht="12.75">
      <c r="A36" s="224" t="s">
        <v>23</v>
      </c>
      <c r="B36" s="225">
        <v>211</v>
      </c>
      <c r="C36" s="218">
        <f>(C30+C32+C34)/29.3*28/12</f>
        <v>438.67</v>
      </c>
      <c r="D36" s="219">
        <f aca="true" t="shared" si="12" ref="D36:AB36">(D30+D32+D34)/29.3*28/12</f>
        <v>247.71</v>
      </c>
      <c r="E36" s="220">
        <f t="shared" si="12"/>
        <v>99.08</v>
      </c>
      <c r="F36" s="218">
        <f t="shared" si="12"/>
        <v>73.11</v>
      </c>
      <c r="G36" s="218">
        <f t="shared" si="12"/>
        <v>0</v>
      </c>
      <c r="H36" s="219">
        <f t="shared" si="12"/>
        <v>0</v>
      </c>
      <c r="I36" s="220">
        <f t="shared" si="12"/>
        <v>0</v>
      </c>
      <c r="J36" s="218">
        <f t="shared" si="12"/>
        <v>0</v>
      </c>
      <c r="K36" s="220">
        <f t="shared" si="12"/>
        <v>0</v>
      </c>
      <c r="L36" s="218">
        <f t="shared" si="12"/>
        <v>0</v>
      </c>
      <c r="M36" s="219">
        <f t="shared" si="12"/>
        <v>0</v>
      </c>
      <c r="N36" s="219">
        <f t="shared" si="12"/>
        <v>0</v>
      </c>
      <c r="O36" s="219">
        <f t="shared" si="12"/>
        <v>0</v>
      </c>
      <c r="P36" s="219">
        <f t="shared" si="12"/>
        <v>0</v>
      </c>
      <c r="Q36" s="219">
        <f t="shared" si="12"/>
        <v>0</v>
      </c>
      <c r="R36" s="219">
        <f t="shared" si="12"/>
        <v>0</v>
      </c>
      <c r="S36" s="219">
        <f t="shared" si="12"/>
        <v>0</v>
      </c>
      <c r="T36" s="219">
        <f t="shared" si="12"/>
        <v>0</v>
      </c>
      <c r="U36" s="219">
        <f t="shared" si="12"/>
        <v>0</v>
      </c>
      <c r="V36" s="219">
        <f t="shared" si="12"/>
        <v>0</v>
      </c>
      <c r="W36" s="219">
        <f t="shared" si="12"/>
        <v>0</v>
      </c>
      <c r="X36" s="219">
        <f t="shared" si="12"/>
        <v>0</v>
      </c>
      <c r="Y36" s="219">
        <f t="shared" si="12"/>
        <v>0</v>
      </c>
      <c r="Z36" s="219">
        <f t="shared" si="12"/>
        <v>0</v>
      </c>
      <c r="AA36" s="219">
        <f t="shared" si="12"/>
        <v>0</v>
      </c>
      <c r="AB36" s="219">
        <f t="shared" si="12"/>
        <v>0</v>
      </c>
      <c r="AC36" s="219">
        <f t="shared" si="9"/>
        <v>858.57</v>
      </c>
    </row>
    <row r="37" spans="1:29" ht="12.75">
      <c r="A37" s="224" t="s">
        <v>24</v>
      </c>
      <c r="B37" s="225">
        <v>213</v>
      </c>
      <c r="C37" s="218">
        <f>C36*0.302</f>
        <v>132.48</v>
      </c>
      <c r="D37" s="219">
        <f aca="true" t="shared" si="13" ref="D37:AB37">D36*0.302</f>
        <v>74.81</v>
      </c>
      <c r="E37" s="220">
        <f t="shared" si="13"/>
        <v>29.92</v>
      </c>
      <c r="F37" s="218">
        <f t="shared" si="13"/>
        <v>22.08</v>
      </c>
      <c r="G37" s="218">
        <f t="shared" si="13"/>
        <v>0</v>
      </c>
      <c r="H37" s="219">
        <f t="shared" si="13"/>
        <v>0</v>
      </c>
      <c r="I37" s="220">
        <f t="shared" si="13"/>
        <v>0</v>
      </c>
      <c r="J37" s="218">
        <f t="shared" si="13"/>
        <v>0</v>
      </c>
      <c r="K37" s="220">
        <f t="shared" si="13"/>
        <v>0</v>
      </c>
      <c r="L37" s="218">
        <f t="shared" si="13"/>
        <v>0</v>
      </c>
      <c r="M37" s="219">
        <f t="shared" si="13"/>
        <v>0</v>
      </c>
      <c r="N37" s="219">
        <f t="shared" si="13"/>
        <v>0</v>
      </c>
      <c r="O37" s="219">
        <f t="shared" si="13"/>
        <v>0</v>
      </c>
      <c r="P37" s="219">
        <f t="shared" si="13"/>
        <v>0</v>
      </c>
      <c r="Q37" s="219">
        <f t="shared" si="13"/>
        <v>0</v>
      </c>
      <c r="R37" s="219">
        <f t="shared" si="13"/>
        <v>0</v>
      </c>
      <c r="S37" s="219">
        <f t="shared" si="13"/>
        <v>0</v>
      </c>
      <c r="T37" s="219">
        <f t="shared" si="13"/>
        <v>0</v>
      </c>
      <c r="U37" s="219">
        <f t="shared" si="13"/>
        <v>0</v>
      </c>
      <c r="V37" s="219">
        <f t="shared" si="13"/>
        <v>0</v>
      </c>
      <c r="W37" s="219">
        <f t="shared" si="13"/>
        <v>0</v>
      </c>
      <c r="X37" s="219">
        <f t="shared" si="13"/>
        <v>0</v>
      </c>
      <c r="Y37" s="219">
        <f t="shared" si="13"/>
        <v>0</v>
      </c>
      <c r="Z37" s="219">
        <f t="shared" si="13"/>
        <v>0</v>
      </c>
      <c r="AA37" s="219">
        <f t="shared" si="13"/>
        <v>0</v>
      </c>
      <c r="AB37" s="219">
        <f t="shared" si="13"/>
        <v>0</v>
      </c>
      <c r="AC37" s="219">
        <f t="shared" si="9"/>
        <v>259.29</v>
      </c>
    </row>
    <row r="38" spans="1:29" ht="12.75">
      <c r="A38" s="224" t="s">
        <v>34</v>
      </c>
      <c r="B38" s="225"/>
      <c r="C38" s="218"/>
      <c r="D38" s="219"/>
      <c r="E38" s="220"/>
      <c r="F38" s="218"/>
      <c r="G38" s="218"/>
      <c r="H38" s="219"/>
      <c r="I38" s="220"/>
      <c r="J38" s="218"/>
      <c r="K38" s="220"/>
      <c r="L38" s="218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>
        <f t="shared" si="9"/>
        <v>0</v>
      </c>
    </row>
    <row r="39" spans="1:29" ht="12.75">
      <c r="A39" s="234" t="s">
        <v>81</v>
      </c>
      <c r="B39" s="235">
        <v>226</v>
      </c>
      <c r="C39" s="236">
        <f>C53*C63</f>
        <v>2400</v>
      </c>
      <c r="D39" s="236">
        <f>D53*D63</f>
        <v>1333.33</v>
      </c>
      <c r="E39" s="236">
        <f>E53*E63</f>
        <v>533.33</v>
      </c>
      <c r="F39" s="236">
        <f>F53*F63</f>
        <v>400</v>
      </c>
      <c r="G39" s="236">
        <f>(26000/6)*G10%</f>
        <v>0</v>
      </c>
      <c r="H39" s="236">
        <f>(26000/6)*H10%</f>
        <v>0</v>
      </c>
      <c r="I39" s="237">
        <f>I53*3.032%</f>
        <v>0</v>
      </c>
      <c r="J39" s="236">
        <f>J53*3.032%</f>
        <v>0</v>
      </c>
      <c r="K39" s="237">
        <f>K53*3.032%</f>
        <v>0</v>
      </c>
      <c r="L39" s="236">
        <f>L53*3.032%</f>
        <v>0</v>
      </c>
      <c r="M39" s="238">
        <f aca="true" t="shared" si="14" ref="M39:AB39">M53*5%</f>
        <v>0</v>
      </c>
      <c r="N39" s="238">
        <f t="shared" si="14"/>
        <v>0</v>
      </c>
      <c r="O39" s="238">
        <f t="shared" si="14"/>
        <v>0</v>
      </c>
      <c r="P39" s="238">
        <f t="shared" si="14"/>
        <v>0</v>
      </c>
      <c r="Q39" s="238">
        <f t="shared" si="14"/>
        <v>0</v>
      </c>
      <c r="R39" s="238">
        <f t="shared" si="14"/>
        <v>0</v>
      </c>
      <c r="S39" s="238">
        <f t="shared" si="14"/>
        <v>0</v>
      </c>
      <c r="T39" s="238">
        <f t="shared" si="14"/>
        <v>0</v>
      </c>
      <c r="U39" s="238">
        <f t="shared" si="14"/>
        <v>0</v>
      </c>
      <c r="V39" s="238">
        <f t="shared" si="14"/>
        <v>0</v>
      </c>
      <c r="W39" s="238">
        <f t="shared" si="14"/>
        <v>0</v>
      </c>
      <c r="X39" s="238">
        <f t="shared" si="14"/>
        <v>0</v>
      </c>
      <c r="Y39" s="238">
        <f t="shared" si="14"/>
        <v>0</v>
      </c>
      <c r="Z39" s="238">
        <f t="shared" si="14"/>
        <v>0</v>
      </c>
      <c r="AA39" s="238">
        <f t="shared" si="14"/>
        <v>0</v>
      </c>
      <c r="AB39" s="238">
        <f t="shared" si="14"/>
        <v>0</v>
      </c>
      <c r="AC39" s="219">
        <f t="shared" si="9"/>
        <v>4666.66</v>
      </c>
    </row>
    <row r="40" spans="1:29" ht="12.75">
      <c r="A40" s="234" t="s">
        <v>86</v>
      </c>
      <c r="B40" s="235">
        <v>291</v>
      </c>
      <c r="C40" s="236">
        <f>C53*C61</f>
        <v>229.89</v>
      </c>
      <c r="D40" s="236">
        <f>D53*D61</f>
        <v>127.71</v>
      </c>
      <c r="E40" s="236">
        <f>E53*E61</f>
        <v>51.09</v>
      </c>
      <c r="F40" s="236">
        <f>F53*F61</f>
        <v>38.31</v>
      </c>
      <c r="G40" s="236">
        <f>(122221/6)*G10%</f>
        <v>0</v>
      </c>
      <c r="H40" s="236">
        <f>(122221/6)*H10%</f>
        <v>0</v>
      </c>
      <c r="I40" s="237">
        <f>I53*1.819%</f>
        <v>0</v>
      </c>
      <c r="J40" s="236">
        <f>J53*1.819%</f>
        <v>0</v>
      </c>
      <c r="K40" s="237">
        <f>K53*1.819%</f>
        <v>0</v>
      </c>
      <c r="L40" s="236">
        <f>L53*1.819%</f>
        <v>0</v>
      </c>
      <c r="M40" s="238">
        <f aca="true" t="shared" si="15" ref="M40:AB40">M53*4%</f>
        <v>0</v>
      </c>
      <c r="N40" s="238">
        <f t="shared" si="15"/>
        <v>0</v>
      </c>
      <c r="O40" s="238">
        <f t="shared" si="15"/>
        <v>0</v>
      </c>
      <c r="P40" s="238">
        <f t="shared" si="15"/>
        <v>0</v>
      </c>
      <c r="Q40" s="238">
        <f t="shared" si="15"/>
        <v>0</v>
      </c>
      <c r="R40" s="238">
        <f t="shared" si="15"/>
        <v>0</v>
      </c>
      <c r="S40" s="238">
        <f t="shared" si="15"/>
        <v>0</v>
      </c>
      <c r="T40" s="238">
        <f t="shared" si="15"/>
        <v>0</v>
      </c>
      <c r="U40" s="238">
        <f t="shared" si="15"/>
        <v>0</v>
      </c>
      <c r="V40" s="238">
        <f t="shared" si="15"/>
        <v>0</v>
      </c>
      <c r="W40" s="238">
        <f t="shared" si="15"/>
        <v>0</v>
      </c>
      <c r="X40" s="238">
        <f t="shared" si="15"/>
        <v>0</v>
      </c>
      <c r="Y40" s="238">
        <f t="shared" si="15"/>
        <v>0</v>
      </c>
      <c r="Z40" s="238">
        <f t="shared" si="15"/>
        <v>0</v>
      </c>
      <c r="AA40" s="238">
        <f t="shared" si="15"/>
        <v>0</v>
      </c>
      <c r="AB40" s="238">
        <f t="shared" si="15"/>
        <v>0</v>
      </c>
      <c r="AC40" s="219">
        <f t="shared" si="9"/>
        <v>447</v>
      </c>
    </row>
    <row r="41" spans="1:29" ht="12.75">
      <c r="A41" s="234" t="s">
        <v>155</v>
      </c>
      <c r="B41" s="235">
        <v>291</v>
      </c>
      <c r="C41" s="236">
        <f>C59*C53</f>
        <v>2888.57</v>
      </c>
      <c r="D41" s="236">
        <f>D59*D53</f>
        <v>1604.76</v>
      </c>
      <c r="E41" s="236">
        <f>E59*E53</f>
        <v>641.9</v>
      </c>
      <c r="F41" s="236">
        <f>F59*F53</f>
        <v>481.43</v>
      </c>
      <c r="G41" s="236">
        <f>(15000/6)*G10%</f>
        <v>0</v>
      </c>
      <c r="H41" s="236">
        <f>(15000/6)*H10%</f>
        <v>0</v>
      </c>
      <c r="I41" s="237">
        <f>I53*2.097%</f>
        <v>0</v>
      </c>
      <c r="J41" s="236">
        <f>J53*2.097%</f>
        <v>0</v>
      </c>
      <c r="K41" s="237">
        <f>K53*2.097%</f>
        <v>0</v>
      </c>
      <c r="L41" s="236">
        <f>L53*2.097%</f>
        <v>0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19">
        <f t="shared" si="9"/>
        <v>5616.66</v>
      </c>
    </row>
    <row r="42" spans="1:29" ht="13.5" thickBot="1">
      <c r="A42" s="234" t="s">
        <v>158</v>
      </c>
      <c r="B42" s="235">
        <v>226</v>
      </c>
      <c r="C42" s="218">
        <f>'расчет%'!$H11*C10%</f>
        <v>927.53</v>
      </c>
      <c r="D42" s="219">
        <f>'расчет%'!$H11*D10%</f>
        <v>515.26</v>
      </c>
      <c r="E42" s="220">
        <f>'расчет%'!$H11*E10%</f>
        <v>206.14</v>
      </c>
      <c r="F42" s="218">
        <f>'расчет%'!$H11*F10%</f>
        <v>154.56</v>
      </c>
      <c r="G42" s="218">
        <f>'расчет%'!$H11*G10%</f>
        <v>0</v>
      </c>
      <c r="H42" s="219">
        <f>'расчет%'!$H11*H10%</f>
        <v>0</v>
      </c>
      <c r="I42" s="220">
        <f>'расчет%'!$H11*I10%</f>
        <v>0</v>
      </c>
      <c r="J42" s="218">
        <f>'расчет%'!$H11*J10%</f>
        <v>0</v>
      </c>
      <c r="K42" s="220">
        <f>'расчет%'!$H11*K10%</f>
        <v>0</v>
      </c>
      <c r="L42" s="218">
        <f>'расчет%'!$H11*L10%</f>
        <v>0</v>
      </c>
      <c r="M42" s="219">
        <f>'расчет%'!$H11*M10%</f>
        <v>0</v>
      </c>
      <c r="N42" s="219">
        <f>'расчет%'!$H11*N10%</f>
        <v>0</v>
      </c>
      <c r="O42" s="219">
        <f>'расчет%'!$H11*O10%</f>
        <v>0</v>
      </c>
      <c r="P42" s="219">
        <f>'расчет%'!$H11*P10%</f>
        <v>0</v>
      </c>
      <c r="Q42" s="219">
        <f>'расчет%'!$H11*Q10%</f>
        <v>0</v>
      </c>
      <c r="R42" s="219">
        <f>'расчет%'!$H11*R10%</f>
        <v>0</v>
      </c>
      <c r="S42" s="219">
        <f>'расчет%'!$H11*S10%</f>
        <v>0</v>
      </c>
      <c r="T42" s="219">
        <f>'расчет%'!$H11*T10%</f>
        <v>0</v>
      </c>
      <c r="U42" s="219">
        <f>'расчет%'!$H11*U10%</f>
        <v>0</v>
      </c>
      <c r="V42" s="219">
        <f>'расчет%'!$H11*V10%</f>
        <v>0</v>
      </c>
      <c r="W42" s="219">
        <f>'расчет%'!$H11*W10%</f>
        <v>0</v>
      </c>
      <c r="X42" s="219">
        <f>'расчет%'!$H11*X10%</f>
        <v>0</v>
      </c>
      <c r="Y42" s="219">
        <f>'расчет%'!$H11*Y10%</f>
        <v>0</v>
      </c>
      <c r="Z42" s="219">
        <f>'расчет%'!$H11*Z10%</f>
        <v>0</v>
      </c>
      <c r="AA42" s="219">
        <f>'расчет%'!$H11*AA10%</f>
        <v>0</v>
      </c>
      <c r="AB42" s="219">
        <f>'расчет%'!$H11*AB10%</f>
        <v>0</v>
      </c>
      <c r="AC42" s="219">
        <f t="shared" si="9"/>
        <v>1803.49</v>
      </c>
    </row>
    <row r="43" spans="1:29" ht="13.5" thickBot="1">
      <c r="A43" s="204" t="s">
        <v>35</v>
      </c>
      <c r="B43" s="239"/>
      <c r="C43" s="227">
        <f aca="true" t="shared" si="16" ref="C43:AC43">SUM(C30:C42)</f>
        <v>14189.15</v>
      </c>
      <c r="D43" s="228">
        <f t="shared" si="16"/>
        <v>7953.46</v>
      </c>
      <c r="E43" s="229">
        <f t="shared" si="16"/>
        <v>3181.41</v>
      </c>
      <c r="F43" s="227">
        <f t="shared" si="16"/>
        <v>2364.83</v>
      </c>
      <c r="G43" s="227">
        <f t="shared" si="16"/>
        <v>0</v>
      </c>
      <c r="H43" s="228">
        <f t="shared" si="16"/>
        <v>0</v>
      </c>
      <c r="I43" s="229">
        <f t="shared" si="16"/>
        <v>0</v>
      </c>
      <c r="J43" s="227">
        <f t="shared" si="16"/>
        <v>0</v>
      </c>
      <c r="K43" s="229">
        <f t="shared" si="16"/>
        <v>0</v>
      </c>
      <c r="L43" s="227">
        <f t="shared" si="16"/>
        <v>0</v>
      </c>
      <c r="M43" s="228">
        <f t="shared" si="16"/>
        <v>0</v>
      </c>
      <c r="N43" s="228">
        <f t="shared" si="16"/>
        <v>0</v>
      </c>
      <c r="O43" s="228">
        <f t="shared" si="16"/>
        <v>0</v>
      </c>
      <c r="P43" s="228">
        <f t="shared" si="16"/>
        <v>0</v>
      </c>
      <c r="Q43" s="228">
        <f t="shared" si="16"/>
        <v>0</v>
      </c>
      <c r="R43" s="228">
        <f t="shared" si="16"/>
        <v>0</v>
      </c>
      <c r="S43" s="228">
        <f t="shared" si="16"/>
        <v>0</v>
      </c>
      <c r="T43" s="228">
        <f t="shared" si="16"/>
        <v>0</v>
      </c>
      <c r="U43" s="228">
        <f t="shared" si="16"/>
        <v>0</v>
      </c>
      <c r="V43" s="228">
        <f t="shared" si="16"/>
        <v>0</v>
      </c>
      <c r="W43" s="228">
        <f t="shared" si="16"/>
        <v>0</v>
      </c>
      <c r="X43" s="228">
        <f t="shared" si="16"/>
        <v>0</v>
      </c>
      <c r="Y43" s="228">
        <f t="shared" si="16"/>
        <v>0</v>
      </c>
      <c r="Z43" s="228">
        <f t="shared" si="16"/>
        <v>0</v>
      </c>
      <c r="AA43" s="228">
        <f t="shared" si="16"/>
        <v>0</v>
      </c>
      <c r="AB43" s="228">
        <f t="shared" si="16"/>
        <v>0</v>
      </c>
      <c r="AC43" s="228">
        <f t="shared" si="16"/>
        <v>27688.85</v>
      </c>
    </row>
    <row r="44" spans="1:29" ht="12.75">
      <c r="A44" s="240" t="s">
        <v>36</v>
      </c>
      <c r="B44" s="241"/>
      <c r="C44" s="242">
        <f>C19+C28+C43</f>
        <v>66199.69</v>
      </c>
      <c r="D44" s="243">
        <f>D19+D28+D43</f>
        <v>37251.55</v>
      </c>
      <c r="E44" s="244">
        <f>E19+E28+E43</f>
        <v>14900.94</v>
      </c>
      <c r="F44" s="242">
        <f>F19+F28+F43</f>
        <v>11033.01</v>
      </c>
      <c r="G44" s="242">
        <f aca="true" t="shared" si="17" ref="G44:AB44">G19+G28+G43</f>
        <v>0</v>
      </c>
      <c r="H44" s="243">
        <f t="shared" si="17"/>
        <v>0</v>
      </c>
      <c r="I44" s="244">
        <f t="shared" si="17"/>
        <v>0</v>
      </c>
      <c r="J44" s="242">
        <f t="shared" si="17"/>
        <v>0</v>
      </c>
      <c r="K44" s="244">
        <f t="shared" si="17"/>
        <v>0</v>
      </c>
      <c r="L44" s="242">
        <f t="shared" si="17"/>
        <v>0</v>
      </c>
      <c r="M44" s="243">
        <f t="shared" si="17"/>
        <v>0</v>
      </c>
      <c r="N44" s="243">
        <f t="shared" si="17"/>
        <v>0</v>
      </c>
      <c r="O44" s="243">
        <f t="shared" si="17"/>
        <v>0</v>
      </c>
      <c r="P44" s="243">
        <f t="shared" si="17"/>
        <v>0</v>
      </c>
      <c r="Q44" s="243">
        <f t="shared" si="17"/>
        <v>0</v>
      </c>
      <c r="R44" s="243">
        <f t="shared" si="17"/>
        <v>0</v>
      </c>
      <c r="S44" s="243">
        <f t="shared" si="17"/>
        <v>0</v>
      </c>
      <c r="T44" s="243">
        <f t="shared" si="17"/>
        <v>0</v>
      </c>
      <c r="U44" s="243">
        <f t="shared" si="17"/>
        <v>0</v>
      </c>
      <c r="V44" s="243">
        <f t="shared" si="17"/>
        <v>0</v>
      </c>
      <c r="W44" s="243">
        <f t="shared" si="17"/>
        <v>0</v>
      </c>
      <c r="X44" s="243">
        <f t="shared" si="17"/>
        <v>0</v>
      </c>
      <c r="Y44" s="243">
        <f t="shared" si="17"/>
        <v>0</v>
      </c>
      <c r="Z44" s="243">
        <f t="shared" si="17"/>
        <v>0</v>
      </c>
      <c r="AA44" s="243">
        <f t="shared" si="17"/>
        <v>0</v>
      </c>
      <c r="AB44" s="243">
        <f t="shared" si="17"/>
        <v>0</v>
      </c>
      <c r="AC44" s="219">
        <f>SUM(C44:AB44)</f>
        <v>129385.19</v>
      </c>
    </row>
    <row r="45" spans="1:29" ht="12.75">
      <c r="A45" s="245" t="s">
        <v>95</v>
      </c>
      <c r="B45" s="246"/>
      <c r="C45" s="218">
        <f>C53-C44</f>
        <v>5800.31</v>
      </c>
      <c r="D45" s="218">
        <f>D53-D44</f>
        <v>2748.45</v>
      </c>
      <c r="E45" s="218">
        <f>E53-E44</f>
        <v>1099.06</v>
      </c>
      <c r="F45" s="218">
        <f>F53-F44</f>
        <v>966.99</v>
      </c>
      <c r="G45" s="218">
        <f aca="true" t="shared" si="18" ref="G45:AB45">G53-G44</f>
        <v>0</v>
      </c>
      <c r="H45" s="247"/>
      <c r="I45" s="248">
        <f t="shared" si="18"/>
        <v>0</v>
      </c>
      <c r="J45" s="218">
        <f t="shared" si="18"/>
        <v>0</v>
      </c>
      <c r="K45" s="220">
        <f t="shared" si="18"/>
        <v>0</v>
      </c>
      <c r="L45" s="218">
        <f t="shared" si="18"/>
        <v>0</v>
      </c>
      <c r="M45" s="247">
        <f t="shared" si="18"/>
        <v>0</v>
      </c>
      <c r="N45" s="249">
        <f t="shared" si="18"/>
        <v>0</v>
      </c>
      <c r="O45" s="249">
        <f t="shared" si="18"/>
        <v>0</v>
      </c>
      <c r="P45" s="249">
        <f t="shared" si="18"/>
        <v>0</v>
      </c>
      <c r="Q45" s="249">
        <f t="shared" si="18"/>
        <v>0</v>
      </c>
      <c r="R45" s="249">
        <f t="shared" si="18"/>
        <v>0</v>
      </c>
      <c r="S45" s="249">
        <f t="shared" si="18"/>
        <v>0</v>
      </c>
      <c r="T45" s="249">
        <f t="shared" si="18"/>
        <v>0</v>
      </c>
      <c r="U45" s="249">
        <f t="shared" si="18"/>
        <v>0</v>
      </c>
      <c r="V45" s="249">
        <f t="shared" si="18"/>
        <v>0</v>
      </c>
      <c r="W45" s="249">
        <f t="shared" si="18"/>
        <v>0</v>
      </c>
      <c r="X45" s="249">
        <f t="shared" si="18"/>
        <v>0</v>
      </c>
      <c r="Y45" s="249">
        <f t="shared" si="18"/>
        <v>0</v>
      </c>
      <c r="Z45" s="249">
        <f t="shared" si="18"/>
        <v>0</v>
      </c>
      <c r="AA45" s="249">
        <f t="shared" si="18"/>
        <v>0</v>
      </c>
      <c r="AB45" s="249">
        <f t="shared" si="18"/>
        <v>0</v>
      </c>
      <c r="AC45" s="219">
        <f>SUM(C45:AB45)</f>
        <v>10614.81</v>
      </c>
    </row>
    <row r="46" spans="1:29" ht="13.5" thickBot="1">
      <c r="A46" s="250" t="s">
        <v>94</v>
      </c>
      <c r="B46" s="251"/>
      <c r="C46" s="236">
        <f>C45/C44*100</f>
        <v>8.76</v>
      </c>
      <c r="D46" s="252">
        <f>D45/D44*100</f>
        <v>7.38</v>
      </c>
      <c r="E46" s="253">
        <f>E45/E44*100</f>
        <v>7.38</v>
      </c>
      <c r="F46" s="236">
        <f>F45/F44*100</f>
        <v>8.76</v>
      </c>
      <c r="G46" s="236"/>
      <c r="H46" s="252"/>
      <c r="I46" s="253" t="e">
        <f aca="true" t="shared" si="19" ref="I46:AB46">I45/I44*100</f>
        <v>#DIV/0!</v>
      </c>
      <c r="J46" s="236" t="e">
        <f t="shared" si="19"/>
        <v>#DIV/0!</v>
      </c>
      <c r="K46" s="237" t="e">
        <f t="shared" si="19"/>
        <v>#DIV/0!</v>
      </c>
      <c r="L46" s="236" t="e">
        <f t="shared" si="19"/>
        <v>#DIV/0!</v>
      </c>
      <c r="M46" s="252" t="e">
        <f t="shared" si="19"/>
        <v>#DIV/0!</v>
      </c>
      <c r="N46" s="395" t="e">
        <f t="shared" si="19"/>
        <v>#DIV/0!</v>
      </c>
      <c r="O46" s="395" t="e">
        <f t="shared" si="19"/>
        <v>#DIV/0!</v>
      </c>
      <c r="P46" s="395" t="e">
        <f t="shared" si="19"/>
        <v>#DIV/0!</v>
      </c>
      <c r="Q46" s="395" t="e">
        <f t="shared" si="19"/>
        <v>#DIV/0!</v>
      </c>
      <c r="R46" s="395" t="e">
        <f t="shared" si="19"/>
        <v>#DIV/0!</v>
      </c>
      <c r="S46" s="395" t="e">
        <f t="shared" si="19"/>
        <v>#DIV/0!</v>
      </c>
      <c r="T46" s="395" t="e">
        <f t="shared" si="19"/>
        <v>#DIV/0!</v>
      </c>
      <c r="U46" s="395" t="e">
        <f t="shared" si="19"/>
        <v>#DIV/0!</v>
      </c>
      <c r="V46" s="395" t="e">
        <f t="shared" si="19"/>
        <v>#DIV/0!</v>
      </c>
      <c r="W46" s="395" t="e">
        <f t="shared" si="19"/>
        <v>#DIV/0!</v>
      </c>
      <c r="X46" s="395" t="e">
        <f t="shared" si="19"/>
        <v>#DIV/0!</v>
      </c>
      <c r="Y46" s="395" t="e">
        <f t="shared" si="19"/>
        <v>#DIV/0!</v>
      </c>
      <c r="Z46" s="395" t="e">
        <f t="shared" si="19"/>
        <v>#DIV/0!</v>
      </c>
      <c r="AA46" s="395" t="e">
        <f t="shared" si="19"/>
        <v>#DIV/0!</v>
      </c>
      <c r="AB46" s="395" t="e">
        <f t="shared" si="19"/>
        <v>#DIV/0!</v>
      </c>
      <c r="AC46" s="396">
        <f>AC45/AC44*100</f>
        <v>8.2</v>
      </c>
    </row>
    <row r="47" spans="1:30" ht="13.5" thickBot="1">
      <c r="A47" s="578" t="s">
        <v>37</v>
      </c>
      <c r="B47" s="579"/>
      <c r="C47" s="227">
        <f>C44+C45</f>
        <v>72000</v>
      </c>
      <c r="D47" s="228">
        <f>D44+D45</f>
        <v>40000</v>
      </c>
      <c r="E47" s="229">
        <f>E44+E45</f>
        <v>16000</v>
      </c>
      <c r="F47" s="227">
        <f>F44+F45</f>
        <v>12000</v>
      </c>
      <c r="G47" s="227">
        <f aca="true" t="shared" si="20" ref="G47:AB47">G44+G45</f>
        <v>0</v>
      </c>
      <c r="H47" s="228">
        <f t="shared" si="20"/>
        <v>0</v>
      </c>
      <c r="I47" s="229">
        <f t="shared" si="20"/>
        <v>0</v>
      </c>
      <c r="J47" s="227">
        <f t="shared" si="20"/>
        <v>0</v>
      </c>
      <c r="K47" s="229">
        <f t="shared" si="20"/>
        <v>0</v>
      </c>
      <c r="L47" s="227">
        <f t="shared" si="20"/>
        <v>0</v>
      </c>
      <c r="M47" s="228">
        <f t="shared" si="20"/>
        <v>0</v>
      </c>
      <c r="N47" s="228">
        <f t="shared" si="20"/>
        <v>0</v>
      </c>
      <c r="O47" s="228">
        <f t="shared" si="20"/>
        <v>0</v>
      </c>
      <c r="P47" s="228">
        <f t="shared" si="20"/>
        <v>0</v>
      </c>
      <c r="Q47" s="228">
        <f t="shared" si="20"/>
        <v>0</v>
      </c>
      <c r="R47" s="228">
        <f t="shared" si="20"/>
        <v>0</v>
      </c>
      <c r="S47" s="228">
        <f t="shared" si="20"/>
        <v>0</v>
      </c>
      <c r="T47" s="228">
        <f t="shared" si="20"/>
        <v>0</v>
      </c>
      <c r="U47" s="228">
        <f t="shared" si="20"/>
        <v>0</v>
      </c>
      <c r="V47" s="228">
        <f t="shared" si="20"/>
        <v>0</v>
      </c>
      <c r="W47" s="228">
        <f t="shared" si="20"/>
        <v>0</v>
      </c>
      <c r="X47" s="228">
        <f t="shared" si="20"/>
        <v>0</v>
      </c>
      <c r="Y47" s="228">
        <f t="shared" si="20"/>
        <v>0</v>
      </c>
      <c r="Z47" s="228">
        <f t="shared" si="20"/>
        <v>0</v>
      </c>
      <c r="AA47" s="228">
        <f t="shared" si="20"/>
        <v>0</v>
      </c>
      <c r="AB47" s="228">
        <f t="shared" si="20"/>
        <v>0</v>
      </c>
      <c r="AC47" s="228">
        <f aca="true" t="shared" si="21" ref="AC47:AC53">SUM(C47:AB47)</f>
        <v>140000</v>
      </c>
      <c r="AD47" s="221"/>
    </row>
    <row r="48" spans="1:29" ht="13.5" thickBot="1">
      <c r="A48" s="204"/>
      <c r="B48" s="239"/>
      <c r="C48" s="254"/>
      <c r="D48" s="255"/>
      <c r="E48" s="255"/>
      <c r="F48" s="254"/>
      <c r="G48" s="254"/>
      <c r="H48" s="255"/>
      <c r="I48" s="255"/>
      <c r="J48" s="254"/>
      <c r="K48" s="255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6">
        <f t="shared" si="21"/>
        <v>0</v>
      </c>
    </row>
    <row r="49" spans="1:29" ht="12.75">
      <c r="A49" s="257" t="s">
        <v>38</v>
      </c>
      <c r="B49" s="258"/>
      <c r="C49" s="216">
        <f>доходы!C11</f>
        <v>60</v>
      </c>
      <c r="D49" s="259">
        <f>доходы!C13</f>
        <v>25</v>
      </c>
      <c r="E49" s="260">
        <f>доходы!C15</f>
        <v>10</v>
      </c>
      <c r="F49" s="216">
        <f>доходы!C17</f>
        <v>10</v>
      </c>
      <c r="G49" s="216"/>
      <c r="H49" s="259"/>
      <c r="I49" s="260">
        <v>0</v>
      </c>
      <c r="J49" s="216">
        <v>0</v>
      </c>
      <c r="K49" s="261">
        <v>0</v>
      </c>
      <c r="L49" s="216"/>
      <c r="M49" s="259"/>
      <c r="N49" s="262"/>
      <c r="O49" s="262">
        <f>доходы!C24</f>
        <v>0</v>
      </c>
      <c r="P49" s="262">
        <f>доходы!C25</f>
        <v>0</v>
      </c>
      <c r="Q49" s="262">
        <f>доходы!C26</f>
        <v>0</v>
      </c>
      <c r="R49" s="262">
        <f>доходы!C27</f>
        <v>0</v>
      </c>
      <c r="S49" s="262">
        <f>доходы!C28</f>
        <v>0</v>
      </c>
      <c r="T49" s="262">
        <f>доходы!C29</f>
        <v>0</v>
      </c>
      <c r="U49" s="262">
        <f>доходы!C30</f>
        <v>0</v>
      </c>
      <c r="V49" s="262">
        <f>доходы!C31</f>
        <v>0</v>
      </c>
      <c r="W49" s="262">
        <f>доходы!C32</f>
        <v>0</v>
      </c>
      <c r="X49" s="262">
        <f>доходы!C33</f>
        <v>0</v>
      </c>
      <c r="Y49" s="262">
        <f>доходы!C34</f>
        <v>0</v>
      </c>
      <c r="Z49" s="262">
        <f>доходы!C35</f>
        <v>0</v>
      </c>
      <c r="AA49" s="262">
        <f>доходы!C36</f>
        <v>0</v>
      </c>
      <c r="AB49" s="262">
        <f>доходы!C37</f>
        <v>0</v>
      </c>
      <c r="AC49" s="263">
        <f t="shared" si="21"/>
        <v>105</v>
      </c>
    </row>
    <row r="50" spans="1:29" ht="12.75">
      <c r="A50" s="224" t="s">
        <v>39</v>
      </c>
      <c r="B50" s="264"/>
      <c r="C50" s="218">
        <f>доходы!D11</f>
        <v>1200</v>
      </c>
      <c r="D50" s="247">
        <f>доходы!D13</f>
        <v>1600</v>
      </c>
      <c r="E50" s="248">
        <f>доходы!D15</f>
        <v>1600</v>
      </c>
      <c r="F50" s="218">
        <f>доходы!D17</f>
        <v>1200</v>
      </c>
      <c r="G50" s="218"/>
      <c r="H50" s="247"/>
      <c r="I50" s="248"/>
      <c r="J50" s="218">
        <v>0</v>
      </c>
      <c r="K50" s="220">
        <v>0</v>
      </c>
      <c r="L50" s="218"/>
      <c r="M50" s="247"/>
      <c r="N50" s="249"/>
      <c r="O50" s="249">
        <f>доходы!D24</f>
        <v>0</v>
      </c>
      <c r="P50" s="249">
        <f>доходы!D25</f>
        <v>0</v>
      </c>
      <c r="Q50" s="249">
        <f>доходы!D26</f>
        <v>0</v>
      </c>
      <c r="R50" s="249">
        <f>доходы!D27</f>
        <v>0</v>
      </c>
      <c r="S50" s="249">
        <f>доходы!D28</f>
        <v>0</v>
      </c>
      <c r="T50" s="249">
        <f>доходы!D29</f>
        <v>0</v>
      </c>
      <c r="U50" s="249">
        <f>доходы!D30</f>
        <v>0</v>
      </c>
      <c r="V50" s="249">
        <f>доходы!D31</f>
        <v>0</v>
      </c>
      <c r="W50" s="249">
        <f>доходы!D32</f>
        <v>0</v>
      </c>
      <c r="X50" s="249">
        <f>доходы!D33</f>
        <v>0</v>
      </c>
      <c r="Y50" s="249">
        <f>доходы!D34</f>
        <v>0</v>
      </c>
      <c r="Z50" s="249">
        <f>доходы!D35</f>
        <v>0</v>
      </c>
      <c r="AA50" s="249">
        <f>доходы!D36</f>
        <v>0</v>
      </c>
      <c r="AB50" s="249">
        <f>доходы!D37</f>
        <v>0</v>
      </c>
      <c r="AC50" s="265">
        <f t="shared" si="21"/>
        <v>5600</v>
      </c>
    </row>
    <row r="51" spans="1:29" ht="12.75">
      <c r="A51" s="224" t="s">
        <v>40</v>
      </c>
      <c r="B51" s="264"/>
      <c r="C51" s="218"/>
      <c r="D51" s="247"/>
      <c r="E51" s="248"/>
      <c r="F51" s="218"/>
      <c r="G51" s="218"/>
      <c r="H51" s="247"/>
      <c r="I51" s="248"/>
      <c r="J51" s="218"/>
      <c r="K51" s="220"/>
      <c r="L51" s="218"/>
      <c r="M51" s="247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65">
        <f t="shared" si="21"/>
        <v>0</v>
      </c>
    </row>
    <row r="52" spans="1:29" ht="12.75">
      <c r="A52" s="224" t="s">
        <v>41</v>
      </c>
      <c r="B52" s="264"/>
      <c r="C52" s="218"/>
      <c r="D52" s="247"/>
      <c r="E52" s="248"/>
      <c r="F52" s="218"/>
      <c r="G52" s="218"/>
      <c r="H52" s="247"/>
      <c r="I52" s="248"/>
      <c r="J52" s="218"/>
      <c r="K52" s="220"/>
      <c r="L52" s="218"/>
      <c r="M52" s="247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65">
        <f t="shared" si="21"/>
        <v>0</v>
      </c>
    </row>
    <row r="53" spans="1:29" ht="12.75">
      <c r="A53" s="224" t="s">
        <v>42</v>
      </c>
      <c r="B53" s="264"/>
      <c r="C53" s="218">
        <f aca="true" t="shared" si="22" ref="C53:H53">(C49*C50+C51*C52)</f>
        <v>72000</v>
      </c>
      <c r="D53" s="218">
        <f t="shared" si="22"/>
        <v>40000</v>
      </c>
      <c r="E53" s="218">
        <f t="shared" si="22"/>
        <v>16000</v>
      </c>
      <c r="F53" s="218">
        <f t="shared" si="22"/>
        <v>12000</v>
      </c>
      <c r="G53" s="218">
        <f t="shared" si="22"/>
        <v>0</v>
      </c>
      <c r="H53" s="218">
        <f t="shared" si="22"/>
        <v>0</v>
      </c>
      <c r="I53" s="248">
        <f aca="true" t="shared" si="23" ref="I53:AB53">I49*I50+I51*I52</f>
        <v>0</v>
      </c>
      <c r="J53" s="218">
        <f t="shared" si="23"/>
        <v>0</v>
      </c>
      <c r="K53" s="220">
        <f t="shared" si="23"/>
        <v>0</v>
      </c>
      <c r="L53" s="218">
        <f t="shared" si="23"/>
        <v>0</v>
      </c>
      <c r="M53" s="247">
        <f t="shared" si="23"/>
        <v>0</v>
      </c>
      <c r="N53" s="249">
        <f t="shared" si="23"/>
        <v>0</v>
      </c>
      <c r="O53" s="249">
        <f t="shared" si="23"/>
        <v>0</v>
      </c>
      <c r="P53" s="249">
        <f t="shared" si="23"/>
        <v>0</v>
      </c>
      <c r="Q53" s="249">
        <f t="shared" si="23"/>
        <v>0</v>
      </c>
      <c r="R53" s="249">
        <f t="shared" si="23"/>
        <v>0</v>
      </c>
      <c r="S53" s="249">
        <f t="shared" si="23"/>
        <v>0</v>
      </c>
      <c r="T53" s="249">
        <f t="shared" si="23"/>
        <v>0</v>
      </c>
      <c r="U53" s="249">
        <f t="shared" si="23"/>
        <v>0</v>
      </c>
      <c r="V53" s="249">
        <f t="shared" si="23"/>
        <v>0</v>
      </c>
      <c r="W53" s="249">
        <f t="shared" si="23"/>
        <v>0</v>
      </c>
      <c r="X53" s="249">
        <f t="shared" si="23"/>
        <v>0</v>
      </c>
      <c r="Y53" s="249">
        <f t="shared" si="23"/>
        <v>0</v>
      </c>
      <c r="Z53" s="249">
        <f t="shared" si="23"/>
        <v>0</v>
      </c>
      <c r="AA53" s="249">
        <f t="shared" si="23"/>
        <v>0</v>
      </c>
      <c r="AB53" s="249">
        <f t="shared" si="23"/>
        <v>0</v>
      </c>
      <c r="AC53" s="265">
        <f t="shared" si="21"/>
        <v>140000</v>
      </c>
    </row>
    <row r="54" spans="1:29" ht="13.5" thickBot="1">
      <c r="A54" s="267" t="s">
        <v>43</v>
      </c>
      <c r="B54" s="251"/>
      <c r="C54" s="268">
        <f>'тарификация '!O34</f>
        <v>8</v>
      </c>
      <c r="D54" s="268">
        <f>'тарификация '!O50</f>
        <v>8</v>
      </c>
      <c r="E54" s="268">
        <f>'тарификация '!O66</f>
        <v>8</v>
      </c>
      <c r="F54" s="268">
        <f>'тарификация '!O73</f>
        <v>8</v>
      </c>
      <c r="G54" s="268">
        <f>'тарификация '!O112</f>
        <v>0</v>
      </c>
      <c r="H54" s="270">
        <f>'тарификация '!O128</f>
        <v>0</v>
      </c>
      <c r="I54" s="271">
        <v>0</v>
      </c>
      <c r="J54" s="268">
        <f>'тарификация '!O160</f>
        <v>0</v>
      </c>
      <c r="K54" s="271">
        <f>'тарификация '!O176</f>
        <v>0</v>
      </c>
      <c r="L54" s="268">
        <f>'тарификация '!O192</f>
        <v>0</v>
      </c>
      <c r="M54" s="271">
        <f>'тарификация '!O208</f>
        <v>0</v>
      </c>
      <c r="N54" s="271">
        <f>'тарификация '!O224</f>
        <v>0</v>
      </c>
      <c r="O54" s="271">
        <f>'тарификация '!O240</f>
        <v>0</v>
      </c>
      <c r="P54" s="271">
        <f>'тарификация '!O256</f>
        <v>0</v>
      </c>
      <c r="Q54" s="271">
        <f>'тарификация '!O272</f>
        <v>0</v>
      </c>
      <c r="R54" s="271">
        <f>'тарификация '!O288</f>
        <v>0</v>
      </c>
      <c r="S54" s="271">
        <f>'тарификация '!O304</f>
        <v>0</v>
      </c>
      <c r="T54" s="271">
        <f>'тарификация '!O320</f>
        <v>0</v>
      </c>
      <c r="U54" s="271">
        <f>'тарификация '!O336</f>
        <v>0</v>
      </c>
      <c r="V54" s="271">
        <f>'тарификация '!O352</f>
        <v>0</v>
      </c>
      <c r="W54" s="271">
        <f>'тарификация '!O368</f>
        <v>0</v>
      </c>
      <c r="X54" s="271">
        <f>'тарификация '!O384</f>
        <v>0</v>
      </c>
      <c r="Y54" s="271">
        <f>'тарификация '!O400</f>
        <v>0</v>
      </c>
      <c r="Z54" s="271">
        <f>'тарификация '!O416</f>
        <v>0</v>
      </c>
      <c r="AA54" s="271">
        <f>'тарификация '!O432</f>
        <v>0</v>
      </c>
      <c r="AB54" s="271">
        <f>'тарификация '!O448</f>
        <v>0</v>
      </c>
      <c r="AC54" s="272">
        <f>SUM(C54:AB54)</f>
        <v>32</v>
      </c>
    </row>
    <row r="55" spans="1:29" ht="13.5" thickBot="1">
      <c r="A55" s="578" t="s">
        <v>44</v>
      </c>
      <c r="B55" s="579"/>
      <c r="C55" s="227">
        <f>C47/(C49+C51)</f>
        <v>1200</v>
      </c>
      <c r="D55" s="273">
        <f>D47/(D49+D51)</f>
        <v>1600</v>
      </c>
      <c r="E55" s="274">
        <f>E47/(E49+E51)</f>
        <v>1600</v>
      </c>
      <c r="F55" s="227">
        <f>F47/(F49+F51)</f>
        <v>1200</v>
      </c>
      <c r="G55" s="227" t="e">
        <f aca="true" t="shared" si="24" ref="G55:AC55">G47/(G49+G51)</f>
        <v>#DIV/0!</v>
      </c>
      <c r="H55" s="273" t="e">
        <f t="shared" si="24"/>
        <v>#DIV/0!</v>
      </c>
      <c r="I55" s="274" t="e">
        <f t="shared" si="24"/>
        <v>#DIV/0!</v>
      </c>
      <c r="J55" s="227" t="e">
        <f t="shared" si="24"/>
        <v>#DIV/0!</v>
      </c>
      <c r="K55" s="229" t="e">
        <f t="shared" si="24"/>
        <v>#DIV/0!</v>
      </c>
      <c r="L55" s="227" t="e">
        <f t="shared" si="24"/>
        <v>#DIV/0!</v>
      </c>
      <c r="M55" s="273" t="e">
        <f t="shared" si="24"/>
        <v>#DIV/0!</v>
      </c>
      <c r="N55" s="275" t="e">
        <f t="shared" si="24"/>
        <v>#DIV/0!</v>
      </c>
      <c r="O55" s="275" t="e">
        <f t="shared" si="24"/>
        <v>#DIV/0!</v>
      </c>
      <c r="P55" s="275" t="e">
        <f t="shared" si="24"/>
        <v>#DIV/0!</v>
      </c>
      <c r="Q55" s="275" t="e">
        <f t="shared" si="24"/>
        <v>#DIV/0!</v>
      </c>
      <c r="R55" s="275" t="e">
        <f t="shared" si="24"/>
        <v>#DIV/0!</v>
      </c>
      <c r="S55" s="275" t="e">
        <f t="shared" si="24"/>
        <v>#DIV/0!</v>
      </c>
      <c r="T55" s="275" t="e">
        <f t="shared" si="24"/>
        <v>#DIV/0!</v>
      </c>
      <c r="U55" s="275" t="e">
        <f t="shared" si="24"/>
        <v>#DIV/0!</v>
      </c>
      <c r="V55" s="275" t="e">
        <f t="shared" si="24"/>
        <v>#DIV/0!</v>
      </c>
      <c r="W55" s="275" t="e">
        <f t="shared" si="24"/>
        <v>#DIV/0!</v>
      </c>
      <c r="X55" s="275" t="e">
        <f t="shared" si="24"/>
        <v>#DIV/0!</v>
      </c>
      <c r="Y55" s="275" t="e">
        <f t="shared" si="24"/>
        <v>#DIV/0!</v>
      </c>
      <c r="Z55" s="275" t="e">
        <f t="shared" si="24"/>
        <v>#DIV/0!</v>
      </c>
      <c r="AA55" s="275" t="e">
        <f t="shared" si="24"/>
        <v>#DIV/0!</v>
      </c>
      <c r="AB55" s="275" t="e">
        <f t="shared" si="24"/>
        <v>#DIV/0!</v>
      </c>
      <c r="AC55" s="276">
        <f t="shared" si="24"/>
        <v>1333.33</v>
      </c>
    </row>
    <row r="58" spans="1:3" s="193" customFormat="1" ht="12.75">
      <c r="A58" s="574" t="s">
        <v>155</v>
      </c>
      <c r="C58" s="193">
        <f>33700/6</f>
        <v>5616.66666666667</v>
      </c>
    </row>
    <row r="59" spans="1:6" s="193" customFormat="1" ht="12.75">
      <c r="A59" s="574"/>
      <c r="C59" s="193">
        <f>C58/AC53</f>
        <v>0.0401190476190476</v>
      </c>
      <c r="D59" s="193">
        <v>0.0401190476190476</v>
      </c>
      <c r="E59" s="193">
        <v>0.0401190476190476</v>
      </c>
      <c r="F59" s="193">
        <v>0.0401190476190476</v>
      </c>
    </row>
    <row r="60" spans="1:3" s="193" customFormat="1" ht="12.75">
      <c r="A60" s="574" t="s">
        <v>86</v>
      </c>
      <c r="C60" s="193">
        <f>2682/6</f>
        <v>447</v>
      </c>
    </row>
    <row r="61" spans="1:6" s="193" customFormat="1" ht="12.75">
      <c r="A61" s="574"/>
      <c r="C61" s="193">
        <f>C60/AC53</f>
        <v>0.00319285714285714</v>
      </c>
      <c r="D61" s="193">
        <v>0.00319285714285714</v>
      </c>
      <c r="E61" s="193">
        <v>0.00319285714285714</v>
      </c>
      <c r="F61" s="193">
        <v>0.00319285714285714</v>
      </c>
    </row>
    <row r="62" spans="1:3" s="193" customFormat="1" ht="12.75">
      <c r="A62" s="574" t="s">
        <v>261</v>
      </c>
      <c r="C62" s="193">
        <f>28000/6</f>
        <v>4666.66666666667</v>
      </c>
    </row>
    <row r="63" spans="1:6" s="193" customFormat="1" ht="12.75">
      <c r="A63" s="574"/>
      <c r="C63" s="193">
        <f>C62/AC53</f>
        <v>0.0333333333333334</v>
      </c>
      <c r="D63" s="193">
        <v>0.0333333333333333</v>
      </c>
      <c r="E63" s="193">
        <v>0.0333333333333333</v>
      </c>
      <c r="F63" s="193">
        <v>0.0333333333333333</v>
      </c>
    </row>
    <row r="64" s="193" customFormat="1" ht="12.75">
      <c r="A64" s="575"/>
    </row>
    <row r="65" ht="12.75">
      <c r="A65" s="575"/>
    </row>
  </sheetData>
  <sheetProtection/>
  <mergeCells count="9">
    <mergeCell ref="A60:A61"/>
    <mergeCell ref="A62:A63"/>
    <mergeCell ref="A64:A65"/>
    <mergeCell ref="A7:B7"/>
    <mergeCell ref="A5:AC5"/>
    <mergeCell ref="A47:B47"/>
    <mergeCell ref="A55:B55"/>
    <mergeCell ref="A6:AC6"/>
    <mergeCell ref="A58:A59"/>
  </mergeCells>
  <printOptions/>
  <pageMargins left="0.5118110236220472" right="0" top="0" bottom="0" header="0.2362204724409449" footer="0.5118110236220472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Y500"/>
  <sheetViews>
    <sheetView zoomScalePageLayoutView="0" workbookViewId="0" topLeftCell="A100">
      <selection activeCell="A483" sqref="A483:IV483"/>
    </sheetView>
  </sheetViews>
  <sheetFormatPr defaultColWidth="9.00390625" defaultRowHeight="12.75"/>
  <cols>
    <col min="1" max="1" width="4.875" style="40" customWidth="1"/>
    <col min="2" max="2" width="19.625" style="40" customWidth="1"/>
    <col min="3" max="3" width="15.875" style="40" customWidth="1"/>
    <col min="4" max="4" width="22.00390625" style="40" customWidth="1"/>
    <col min="5" max="5" width="10.00390625" style="40" customWidth="1"/>
    <col min="6" max="6" width="9.25390625" style="40" customWidth="1"/>
    <col min="7" max="7" width="15.875" style="40" customWidth="1"/>
    <col min="8" max="8" width="10.875" style="40" hidden="1" customWidth="1"/>
    <col min="9" max="9" width="9.625" style="40" hidden="1" customWidth="1"/>
    <col min="10" max="10" width="8.00390625" style="40" customWidth="1"/>
    <col min="11" max="11" width="10.625" style="50" customWidth="1"/>
    <col min="12" max="12" width="8.00390625" style="40" customWidth="1"/>
    <col min="13" max="13" width="9.125" style="40" customWidth="1"/>
    <col min="14" max="14" width="8.75390625" style="40" customWidth="1"/>
    <col min="15" max="15" width="12.875" style="40" customWidth="1"/>
    <col min="16" max="16" width="10.75390625" style="40" customWidth="1"/>
    <col min="17" max="17" width="11.75390625" style="40" customWidth="1"/>
    <col min="18" max="18" width="15.25390625" style="40" customWidth="1"/>
    <col min="19" max="19" width="13.125" style="40" customWidth="1"/>
    <col min="20" max="20" width="9.875" style="40" bestFit="1" customWidth="1"/>
    <col min="21" max="16384" width="9.125" style="40" customWidth="1"/>
  </cols>
  <sheetData>
    <row r="1" spans="1:19" ht="15.75">
      <c r="A1" s="12" t="s">
        <v>220</v>
      </c>
      <c r="B1" s="13"/>
      <c r="C1" s="13"/>
      <c r="D1" s="13"/>
      <c r="E1" s="14"/>
      <c r="F1" s="13"/>
      <c r="G1" s="13"/>
      <c r="H1" s="49"/>
      <c r="I1" s="49"/>
      <c r="P1" s="49" t="s">
        <v>87</v>
      </c>
      <c r="Q1" s="49"/>
      <c r="S1" s="51"/>
    </row>
    <row r="2" spans="1:19" ht="15.75">
      <c r="A2" s="13"/>
      <c r="B2" s="13"/>
      <c r="C2" s="13"/>
      <c r="D2" s="13"/>
      <c r="E2" s="14"/>
      <c r="F2" s="13"/>
      <c r="G2" s="13"/>
      <c r="H2" s="49"/>
      <c r="I2" s="49"/>
      <c r="P2" s="49"/>
      <c r="Q2" s="49"/>
      <c r="R2" s="40" t="s">
        <v>79</v>
      </c>
      <c r="S2" s="51"/>
    </row>
    <row r="3" spans="1:19" ht="15.75">
      <c r="A3" s="13"/>
      <c r="B3" s="13"/>
      <c r="C3" s="13"/>
      <c r="D3" s="13"/>
      <c r="E3" s="14"/>
      <c r="F3" s="495"/>
      <c r="G3" s="495"/>
      <c r="H3" s="49"/>
      <c r="I3" s="49"/>
      <c r="P3" s="49" t="s">
        <v>211</v>
      </c>
      <c r="R3" s="49"/>
      <c r="S3" s="331" t="s">
        <v>221</v>
      </c>
    </row>
    <row r="5" spans="1:19" ht="12.75">
      <c r="A5" s="534" t="s">
        <v>96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</row>
    <row r="6" spans="1:19" ht="12.75">
      <c r="A6" s="534" t="s">
        <v>9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</row>
    <row r="7" spans="1:19" ht="12.75">
      <c r="A7" s="534">
        <v>2021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52"/>
      <c r="L8" s="39"/>
      <c r="M8" s="39"/>
      <c r="N8" s="39"/>
      <c r="O8" s="39"/>
      <c r="P8" s="39"/>
      <c r="Q8" s="39"/>
      <c r="R8" s="39"/>
      <c r="S8" s="39"/>
    </row>
    <row r="9" spans="1:19" ht="12.75">
      <c r="A9" s="534" t="s">
        <v>0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</row>
    <row r="10" spans="1:19" ht="12.75">
      <c r="A10" s="534" t="s">
        <v>253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</row>
    <row r="11" spans="1:19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41" t="s">
        <v>61</v>
      </c>
      <c r="C12" s="39"/>
      <c r="D12" s="39">
        <v>8999</v>
      </c>
      <c r="E12" s="4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 hidden="1">
      <c r="A13" s="39"/>
      <c r="B13" s="41" t="s">
        <v>195</v>
      </c>
      <c r="C13" s="39"/>
      <c r="D13" s="39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 hidden="1">
      <c r="A14" s="39"/>
      <c r="B14" s="41" t="s">
        <v>62</v>
      </c>
      <c r="C14" s="39"/>
      <c r="D14" s="39">
        <f>D12*D13</f>
        <v>8999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9"/>
      <c r="B15" s="41" t="s">
        <v>190</v>
      </c>
      <c r="C15" s="39"/>
      <c r="D15" s="39">
        <v>25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9"/>
      <c r="B16" s="41" t="s">
        <v>191</v>
      </c>
      <c r="C16" s="39"/>
      <c r="D16" s="39">
        <v>18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9"/>
      <c r="B17" s="41" t="s">
        <v>179</v>
      </c>
      <c r="C17" s="39"/>
      <c r="D17" s="39">
        <f>D15*D16</f>
        <v>450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1" ht="12.75">
      <c r="A18" s="39"/>
      <c r="B18" s="41" t="s">
        <v>63</v>
      </c>
      <c r="D18" s="42">
        <f>ROUND(D14/D17/4,2)</f>
        <v>5</v>
      </c>
      <c r="K18" s="40"/>
    </row>
    <row r="19" ht="12.75">
      <c r="A19" s="39"/>
    </row>
    <row r="20" spans="1:5" ht="12.75">
      <c r="A20" s="53">
        <v>1</v>
      </c>
      <c r="B20" s="41" t="str">
        <f>доходы!B11</f>
        <v>Танцевальная студия - 1</v>
      </c>
      <c r="C20" s="39"/>
      <c r="D20" s="39"/>
      <c r="E20" s="39"/>
    </row>
    <row r="21" ht="12" customHeight="1" thickBot="1"/>
    <row r="22" spans="1:19" s="39" customFormat="1" ht="57" customHeight="1" thickBot="1">
      <c r="A22" s="54" t="s">
        <v>1</v>
      </c>
      <c r="B22" s="54" t="s">
        <v>2</v>
      </c>
      <c r="C22" s="54" t="s">
        <v>8</v>
      </c>
      <c r="D22" s="54" t="s">
        <v>3</v>
      </c>
      <c r="E22" s="54" t="s">
        <v>214</v>
      </c>
      <c r="F22" s="54" t="s">
        <v>215</v>
      </c>
      <c r="G22" s="54" t="s">
        <v>216</v>
      </c>
      <c r="H22" s="54" t="s">
        <v>117</v>
      </c>
      <c r="I22" s="54" t="s">
        <v>99</v>
      </c>
      <c r="J22" s="54" t="s">
        <v>213</v>
      </c>
      <c r="K22" s="55" t="s">
        <v>66</v>
      </c>
      <c r="L22" s="54" t="s">
        <v>67</v>
      </c>
      <c r="M22" s="54" t="s">
        <v>6</v>
      </c>
      <c r="N22" s="54" t="s">
        <v>54</v>
      </c>
      <c r="O22" s="54" t="s">
        <v>7</v>
      </c>
      <c r="P22" s="54" t="s">
        <v>48</v>
      </c>
      <c r="Q22" s="54" t="s">
        <v>49</v>
      </c>
      <c r="R22" s="54" t="s">
        <v>50</v>
      </c>
      <c r="S22" s="54" t="s">
        <v>51</v>
      </c>
    </row>
    <row r="23" spans="1:19" s="39" customFormat="1" ht="13.5" thickBot="1">
      <c r="A23" s="56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8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9">
        <v>19</v>
      </c>
    </row>
    <row r="24" spans="1:19" s="68" customFormat="1" ht="39.75" thickBot="1" thickTop="1">
      <c r="A24" s="60">
        <v>1</v>
      </c>
      <c r="B24" s="61" t="s">
        <v>231</v>
      </c>
      <c r="C24" s="62" t="s">
        <v>180</v>
      </c>
      <c r="D24" s="61" t="str">
        <f>B$20</f>
        <v>Танцевальная студия - 1</v>
      </c>
      <c r="E24" s="63">
        <f>ROUND(O24/18/4,2)</f>
        <v>0.11</v>
      </c>
      <c r="F24" s="63">
        <v>8999</v>
      </c>
      <c r="G24" s="110">
        <f>E24*F24</f>
        <v>989.89</v>
      </c>
      <c r="H24" s="64">
        <v>0</v>
      </c>
      <c r="I24" s="64">
        <v>0</v>
      </c>
      <c r="J24" s="372">
        <f>K24/G24</f>
        <v>11.284</v>
      </c>
      <c r="K24" s="65">
        <f>N24*O24*P24</f>
        <v>11169.6</v>
      </c>
      <c r="L24" s="63">
        <f>18*25*4</f>
        <v>1800</v>
      </c>
      <c r="M24" s="63">
        <f>N24*O24</f>
        <v>312</v>
      </c>
      <c r="N24" s="63">
        <v>39</v>
      </c>
      <c r="O24" s="63">
        <f>8</f>
        <v>8</v>
      </c>
      <c r="P24" s="66">
        <v>35.8</v>
      </c>
      <c r="Q24" s="65">
        <f>N24*O24*P24</f>
        <v>11169.6</v>
      </c>
      <c r="R24" s="65">
        <f>Q24*0.15</f>
        <v>1675.44</v>
      </c>
      <c r="S24" s="67">
        <f>Q24+R24</f>
        <v>12845.04</v>
      </c>
    </row>
    <row r="25" spans="1:19" ht="13.5" hidden="1" thickBot="1">
      <c r="A25" s="69">
        <v>2</v>
      </c>
      <c r="B25" s="70"/>
      <c r="C25" s="71" t="s">
        <v>52</v>
      </c>
      <c r="D25" s="72" t="str">
        <f aca="true" t="shared" si="0" ref="D25:D33">B$20</f>
        <v>Танцевальная студия - 1</v>
      </c>
      <c r="E25" s="71"/>
      <c r="F25" s="71">
        <f aca="true" t="shared" si="1" ref="F25:F33">ROUND(O25/18/4,2)</f>
        <v>0</v>
      </c>
      <c r="G25" s="71">
        <v>7570</v>
      </c>
      <c r="H25" s="73">
        <f>H$24</f>
        <v>0</v>
      </c>
      <c r="I25" s="73">
        <v>0</v>
      </c>
      <c r="J25" s="71"/>
      <c r="K25" s="74">
        <f aca="true" t="shared" si="2" ref="K25:K33">(G25+G25*(H25+I25))*J25</f>
        <v>0</v>
      </c>
      <c r="L25" s="71">
        <f aca="true" t="shared" si="3" ref="L25:L33">18*25*4</f>
        <v>1800</v>
      </c>
      <c r="M25" s="71">
        <f aca="true" t="shared" si="4" ref="M25:M33">N25*O25</f>
        <v>0</v>
      </c>
      <c r="N25" s="71"/>
      <c r="O25" s="71"/>
      <c r="P25" s="75">
        <f aca="true" t="shared" si="5" ref="P25:P33">ROUND(K25/L25,2)</f>
        <v>0</v>
      </c>
      <c r="Q25" s="74">
        <f aca="true" t="shared" si="6" ref="Q25:Q33">N25*O25*P25</f>
        <v>0</v>
      </c>
      <c r="R25" s="74">
        <f aca="true" t="shared" si="7" ref="R25:R33">Q25*0.15</f>
        <v>0</v>
      </c>
      <c r="S25" s="76">
        <f aca="true" t="shared" si="8" ref="S25:S33">Q25+R25</f>
        <v>0</v>
      </c>
    </row>
    <row r="26" spans="1:19" ht="13.5" hidden="1" thickBot="1">
      <c r="A26" s="69">
        <v>3</v>
      </c>
      <c r="B26" s="70"/>
      <c r="C26" s="71" t="s">
        <v>52</v>
      </c>
      <c r="D26" s="72" t="str">
        <f t="shared" si="0"/>
        <v>Танцевальная студия - 1</v>
      </c>
      <c r="E26" s="71"/>
      <c r="F26" s="71">
        <f t="shared" si="1"/>
        <v>0</v>
      </c>
      <c r="G26" s="71">
        <v>7570</v>
      </c>
      <c r="H26" s="73">
        <f aca="true" t="shared" si="9" ref="H26:H33">H$24</f>
        <v>0</v>
      </c>
      <c r="I26" s="73"/>
      <c r="J26" s="71"/>
      <c r="K26" s="74">
        <f t="shared" si="2"/>
        <v>0</v>
      </c>
      <c r="L26" s="71">
        <f t="shared" si="3"/>
        <v>1800</v>
      </c>
      <c r="M26" s="71">
        <f t="shared" si="4"/>
        <v>0</v>
      </c>
      <c r="N26" s="71"/>
      <c r="O26" s="71"/>
      <c r="P26" s="75">
        <f t="shared" si="5"/>
        <v>0</v>
      </c>
      <c r="Q26" s="74">
        <f t="shared" si="6"/>
        <v>0</v>
      </c>
      <c r="R26" s="74">
        <f t="shared" si="7"/>
        <v>0</v>
      </c>
      <c r="S26" s="76">
        <f t="shared" si="8"/>
        <v>0</v>
      </c>
    </row>
    <row r="27" spans="1:19" ht="13.5" hidden="1" thickBot="1">
      <c r="A27" s="69">
        <v>4</v>
      </c>
      <c r="B27" s="70"/>
      <c r="C27" s="71" t="s">
        <v>52</v>
      </c>
      <c r="D27" s="72" t="str">
        <f t="shared" si="0"/>
        <v>Танцевальная студия - 1</v>
      </c>
      <c r="E27" s="71"/>
      <c r="F27" s="71">
        <f t="shared" si="1"/>
        <v>0</v>
      </c>
      <c r="G27" s="71">
        <v>7570</v>
      </c>
      <c r="H27" s="73">
        <f t="shared" si="9"/>
        <v>0</v>
      </c>
      <c r="I27" s="73"/>
      <c r="J27" s="71"/>
      <c r="K27" s="74">
        <f t="shared" si="2"/>
        <v>0</v>
      </c>
      <c r="L27" s="71">
        <f t="shared" si="3"/>
        <v>1800</v>
      </c>
      <c r="M27" s="71">
        <f t="shared" si="4"/>
        <v>0</v>
      </c>
      <c r="N27" s="71"/>
      <c r="O27" s="71"/>
      <c r="P27" s="75">
        <f t="shared" si="5"/>
        <v>0</v>
      </c>
      <c r="Q27" s="74">
        <f t="shared" si="6"/>
        <v>0</v>
      </c>
      <c r="R27" s="74">
        <f t="shared" si="7"/>
        <v>0</v>
      </c>
      <c r="S27" s="76">
        <f t="shared" si="8"/>
        <v>0</v>
      </c>
    </row>
    <row r="28" spans="1:19" ht="13.5" hidden="1" thickBot="1">
      <c r="A28" s="69">
        <v>5</v>
      </c>
      <c r="B28" s="70"/>
      <c r="C28" s="71" t="s">
        <v>52</v>
      </c>
      <c r="D28" s="72" t="str">
        <f t="shared" si="0"/>
        <v>Танцевальная студия - 1</v>
      </c>
      <c r="E28" s="71"/>
      <c r="F28" s="71">
        <f t="shared" si="1"/>
        <v>0</v>
      </c>
      <c r="G28" s="71">
        <v>7570</v>
      </c>
      <c r="H28" s="73">
        <f t="shared" si="9"/>
        <v>0</v>
      </c>
      <c r="I28" s="73"/>
      <c r="J28" s="71"/>
      <c r="K28" s="74">
        <f t="shared" si="2"/>
        <v>0</v>
      </c>
      <c r="L28" s="71">
        <f t="shared" si="3"/>
        <v>1800</v>
      </c>
      <c r="M28" s="71">
        <f t="shared" si="4"/>
        <v>0</v>
      </c>
      <c r="N28" s="71"/>
      <c r="O28" s="71"/>
      <c r="P28" s="75">
        <f t="shared" si="5"/>
        <v>0</v>
      </c>
      <c r="Q28" s="74">
        <f t="shared" si="6"/>
        <v>0</v>
      </c>
      <c r="R28" s="74">
        <f t="shared" si="7"/>
        <v>0</v>
      </c>
      <c r="S28" s="76">
        <f t="shared" si="8"/>
        <v>0</v>
      </c>
    </row>
    <row r="29" spans="1:19" ht="13.5" hidden="1" thickBot="1">
      <c r="A29" s="69">
        <v>6</v>
      </c>
      <c r="B29" s="70"/>
      <c r="C29" s="71" t="s">
        <v>52</v>
      </c>
      <c r="D29" s="72" t="str">
        <f t="shared" si="0"/>
        <v>Танцевальная студия - 1</v>
      </c>
      <c r="E29" s="71"/>
      <c r="F29" s="71">
        <f t="shared" si="1"/>
        <v>0</v>
      </c>
      <c r="G29" s="71">
        <v>7570</v>
      </c>
      <c r="H29" s="73">
        <f t="shared" si="9"/>
        <v>0</v>
      </c>
      <c r="I29" s="73"/>
      <c r="J29" s="71"/>
      <c r="K29" s="74">
        <f t="shared" si="2"/>
        <v>0</v>
      </c>
      <c r="L29" s="71">
        <f t="shared" si="3"/>
        <v>1800</v>
      </c>
      <c r="M29" s="71">
        <f t="shared" si="4"/>
        <v>0</v>
      </c>
      <c r="N29" s="71"/>
      <c r="O29" s="71"/>
      <c r="P29" s="75">
        <f t="shared" si="5"/>
        <v>0</v>
      </c>
      <c r="Q29" s="74">
        <f t="shared" si="6"/>
        <v>0</v>
      </c>
      <c r="R29" s="74">
        <f t="shared" si="7"/>
        <v>0</v>
      </c>
      <c r="S29" s="76">
        <f t="shared" si="8"/>
        <v>0</v>
      </c>
    </row>
    <row r="30" spans="1:19" ht="13.5" hidden="1" thickBot="1">
      <c r="A30" s="69">
        <v>7</v>
      </c>
      <c r="B30" s="70"/>
      <c r="C30" s="71" t="s">
        <v>52</v>
      </c>
      <c r="D30" s="72" t="str">
        <f t="shared" si="0"/>
        <v>Танцевальная студия - 1</v>
      </c>
      <c r="E30" s="71"/>
      <c r="F30" s="71">
        <f t="shared" si="1"/>
        <v>0</v>
      </c>
      <c r="G30" s="71">
        <v>7570</v>
      </c>
      <c r="H30" s="73">
        <f t="shared" si="9"/>
        <v>0</v>
      </c>
      <c r="I30" s="73"/>
      <c r="J30" s="71"/>
      <c r="K30" s="74">
        <f t="shared" si="2"/>
        <v>0</v>
      </c>
      <c r="L30" s="71">
        <f t="shared" si="3"/>
        <v>1800</v>
      </c>
      <c r="M30" s="71">
        <f t="shared" si="4"/>
        <v>0</v>
      </c>
      <c r="N30" s="71"/>
      <c r="O30" s="71"/>
      <c r="P30" s="75">
        <f t="shared" si="5"/>
        <v>0</v>
      </c>
      <c r="Q30" s="74">
        <f t="shared" si="6"/>
        <v>0</v>
      </c>
      <c r="R30" s="74">
        <f t="shared" si="7"/>
        <v>0</v>
      </c>
      <c r="S30" s="76">
        <f t="shared" si="8"/>
        <v>0</v>
      </c>
    </row>
    <row r="31" spans="1:19" ht="13.5" hidden="1" thickBot="1">
      <c r="A31" s="69">
        <v>8</v>
      </c>
      <c r="B31" s="70"/>
      <c r="C31" s="71" t="s">
        <v>52</v>
      </c>
      <c r="D31" s="72" t="str">
        <f t="shared" si="0"/>
        <v>Танцевальная студия - 1</v>
      </c>
      <c r="E31" s="71"/>
      <c r="F31" s="71">
        <f t="shared" si="1"/>
        <v>0</v>
      </c>
      <c r="G31" s="71">
        <v>7570</v>
      </c>
      <c r="H31" s="73">
        <f t="shared" si="9"/>
        <v>0</v>
      </c>
      <c r="I31" s="73"/>
      <c r="J31" s="71"/>
      <c r="K31" s="74">
        <f t="shared" si="2"/>
        <v>0</v>
      </c>
      <c r="L31" s="71">
        <f t="shared" si="3"/>
        <v>1800</v>
      </c>
      <c r="M31" s="71">
        <f t="shared" si="4"/>
        <v>0</v>
      </c>
      <c r="N31" s="71"/>
      <c r="O31" s="71"/>
      <c r="P31" s="75">
        <f t="shared" si="5"/>
        <v>0</v>
      </c>
      <c r="Q31" s="74">
        <f t="shared" si="6"/>
        <v>0</v>
      </c>
      <c r="R31" s="74">
        <f t="shared" si="7"/>
        <v>0</v>
      </c>
      <c r="S31" s="76">
        <f t="shared" si="8"/>
        <v>0</v>
      </c>
    </row>
    <row r="32" spans="1:19" ht="13.5" hidden="1" thickBot="1">
      <c r="A32" s="69">
        <v>9</v>
      </c>
      <c r="B32" s="70"/>
      <c r="C32" s="71" t="s">
        <v>52</v>
      </c>
      <c r="D32" s="72" t="str">
        <f t="shared" si="0"/>
        <v>Танцевальная студия - 1</v>
      </c>
      <c r="E32" s="71"/>
      <c r="F32" s="71">
        <f t="shared" si="1"/>
        <v>0</v>
      </c>
      <c r="G32" s="71">
        <v>7570</v>
      </c>
      <c r="H32" s="73">
        <f t="shared" si="9"/>
        <v>0</v>
      </c>
      <c r="I32" s="73"/>
      <c r="J32" s="71"/>
      <c r="K32" s="74">
        <f t="shared" si="2"/>
        <v>0</v>
      </c>
      <c r="L32" s="71">
        <f t="shared" si="3"/>
        <v>1800</v>
      </c>
      <c r="M32" s="71">
        <f t="shared" si="4"/>
        <v>0</v>
      </c>
      <c r="N32" s="71"/>
      <c r="O32" s="71"/>
      <c r="P32" s="75">
        <f t="shared" si="5"/>
        <v>0</v>
      </c>
      <c r="Q32" s="74">
        <f t="shared" si="6"/>
        <v>0</v>
      </c>
      <c r="R32" s="74">
        <f t="shared" si="7"/>
        <v>0</v>
      </c>
      <c r="S32" s="76">
        <f t="shared" si="8"/>
        <v>0</v>
      </c>
    </row>
    <row r="33" spans="1:19" ht="13.5" hidden="1" thickBot="1">
      <c r="A33" s="77">
        <v>10</v>
      </c>
      <c r="B33" s="78"/>
      <c r="C33" s="79" t="s">
        <v>52</v>
      </c>
      <c r="D33" s="80" t="str">
        <f t="shared" si="0"/>
        <v>Танцевальная студия - 1</v>
      </c>
      <c r="E33" s="79"/>
      <c r="F33" s="79">
        <f t="shared" si="1"/>
        <v>0</v>
      </c>
      <c r="G33" s="79">
        <v>7570</v>
      </c>
      <c r="H33" s="81">
        <f t="shared" si="9"/>
        <v>0</v>
      </c>
      <c r="I33" s="81"/>
      <c r="J33" s="79"/>
      <c r="K33" s="82">
        <f t="shared" si="2"/>
        <v>0</v>
      </c>
      <c r="L33" s="79">
        <f t="shared" si="3"/>
        <v>1800</v>
      </c>
      <c r="M33" s="79">
        <f t="shared" si="4"/>
        <v>0</v>
      </c>
      <c r="N33" s="79"/>
      <c r="O33" s="79"/>
      <c r="P33" s="83">
        <f t="shared" si="5"/>
        <v>0</v>
      </c>
      <c r="Q33" s="82">
        <f t="shared" si="6"/>
        <v>0</v>
      </c>
      <c r="R33" s="82">
        <f t="shared" si="7"/>
        <v>0</v>
      </c>
      <c r="S33" s="84">
        <f t="shared" si="8"/>
        <v>0</v>
      </c>
    </row>
    <row r="34" spans="1:19" s="39" customFormat="1" ht="13.5" thickBot="1">
      <c r="A34" s="85"/>
      <c r="B34" s="86"/>
      <c r="C34" s="86"/>
      <c r="D34" s="86" t="s">
        <v>53</v>
      </c>
      <c r="E34" s="86"/>
      <c r="F34" s="87">
        <f>SUM(F24:F33)</f>
        <v>8999</v>
      </c>
      <c r="G34" s="86"/>
      <c r="H34" s="86"/>
      <c r="I34" s="86"/>
      <c r="J34" s="86"/>
      <c r="K34" s="88"/>
      <c r="L34" s="86"/>
      <c r="M34" s="89">
        <f aca="true" t="shared" si="10" ref="M34:S34">SUM(M24:M33)</f>
        <v>312</v>
      </c>
      <c r="N34" s="89">
        <f t="shared" si="10"/>
        <v>39</v>
      </c>
      <c r="O34" s="89">
        <f t="shared" si="10"/>
        <v>8</v>
      </c>
      <c r="P34" s="89">
        <f t="shared" si="10"/>
        <v>36</v>
      </c>
      <c r="Q34" s="87">
        <f t="shared" si="10"/>
        <v>11169.6</v>
      </c>
      <c r="R34" s="87">
        <f t="shared" si="10"/>
        <v>1675.44</v>
      </c>
      <c r="S34" s="87">
        <f t="shared" si="10"/>
        <v>12845.04</v>
      </c>
    </row>
    <row r="35" spans="1:19" s="39" customFormat="1" ht="12.75">
      <c r="A35" s="91"/>
      <c r="B35" s="92"/>
      <c r="C35" s="92"/>
      <c r="D35" s="92"/>
      <c r="E35" s="92"/>
      <c r="F35" s="93"/>
      <c r="G35" s="92"/>
      <c r="H35" s="92"/>
      <c r="I35" s="92"/>
      <c r="J35" s="92"/>
      <c r="K35" s="94"/>
      <c r="L35" s="92"/>
      <c r="M35" s="95"/>
      <c r="N35" s="95">
        <f>доходы!C12</f>
        <v>39</v>
      </c>
      <c r="O35" s="96" t="s">
        <v>116</v>
      </c>
      <c r="P35" s="92"/>
      <c r="Q35" s="97"/>
      <c r="R35" s="98"/>
      <c r="S35" s="98"/>
    </row>
    <row r="36" spans="1:19" s="39" customFormat="1" ht="12.75">
      <c r="A36" s="53" t="s">
        <v>98</v>
      </c>
      <c r="B36" s="41" t="str">
        <f>доходы!B13</f>
        <v>Творческая студия</v>
      </c>
      <c r="F36" s="40"/>
      <c r="G36" s="40"/>
      <c r="H36" s="40"/>
      <c r="I36" s="40"/>
      <c r="J36" s="40"/>
      <c r="K36" s="50"/>
      <c r="L36" s="40"/>
      <c r="M36" s="40"/>
      <c r="N36" s="40"/>
      <c r="O36" s="40"/>
      <c r="P36" s="40"/>
      <c r="Q36" s="40"/>
      <c r="R36" s="40"/>
      <c r="S36" s="40"/>
    </row>
    <row r="37" spans="1:19" s="39" customFormat="1" ht="13.5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50"/>
      <c r="L37" s="40"/>
      <c r="M37" s="40"/>
      <c r="N37" s="40"/>
      <c r="O37" s="40"/>
      <c r="P37" s="40"/>
      <c r="Q37" s="40"/>
      <c r="R37" s="40"/>
      <c r="S37" s="40"/>
    </row>
    <row r="38" spans="1:19" s="39" customFormat="1" ht="51.75" thickBot="1">
      <c r="A38" s="99" t="s">
        <v>1</v>
      </c>
      <c r="B38" s="99" t="s">
        <v>2</v>
      </c>
      <c r="C38" s="99" t="s">
        <v>8</v>
      </c>
      <c r="D38" s="99" t="s">
        <v>3</v>
      </c>
      <c r="E38" s="54" t="s">
        <v>214</v>
      </c>
      <c r="F38" s="54" t="s">
        <v>215</v>
      </c>
      <c r="G38" s="54" t="s">
        <v>216</v>
      </c>
      <c r="H38" s="54" t="s">
        <v>117</v>
      </c>
      <c r="I38" s="54" t="s">
        <v>99</v>
      </c>
      <c r="J38" s="54" t="s">
        <v>213</v>
      </c>
      <c r="K38" s="55" t="s">
        <v>66</v>
      </c>
      <c r="L38" s="54" t="s">
        <v>67</v>
      </c>
      <c r="M38" s="99" t="s">
        <v>6</v>
      </c>
      <c r="N38" s="99" t="s">
        <v>54</v>
      </c>
      <c r="O38" s="99" t="s">
        <v>7</v>
      </c>
      <c r="P38" s="99" t="s">
        <v>48</v>
      </c>
      <c r="Q38" s="99" t="s">
        <v>49</v>
      </c>
      <c r="R38" s="99" t="s">
        <v>50</v>
      </c>
      <c r="S38" s="99" t="s">
        <v>51</v>
      </c>
    </row>
    <row r="39" spans="1:19" s="39" customFormat="1" ht="13.5" thickBot="1">
      <c r="A39" s="101">
        <v>1</v>
      </c>
      <c r="B39" s="102">
        <v>2</v>
      </c>
      <c r="C39" s="103">
        <v>3</v>
      </c>
      <c r="D39" s="102">
        <v>4</v>
      </c>
      <c r="E39" s="57">
        <v>5</v>
      </c>
      <c r="F39" s="57">
        <v>6</v>
      </c>
      <c r="G39" s="57">
        <v>7</v>
      </c>
      <c r="H39" s="57">
        <v>8</v>
      </c>
      <c r="I39" s="57">
        <v>9</v>
      </c>
      <c r="J39" s="57">
        <v>10</v>
      </c>
      <c r="K39" s="58">
        <v>11</v>
      </c>
      <c r="L39" s="57">
        <v>12</v>
      </c>
      <c r="M39" s="102">
        <v>13</v>
      </c>
      <c r="N39" s="102">
        <v>14</v>
      </c>
      <c r="O39" s="103">
        <v>15</v>
      </c>
      <c r="P39" s="102">
        <v>16</v>
      </c>
      <c r="Q39" s="102">
        <v>17</v>
      </c>
      <c r="R39" s="102">
        <v>18</v>
      </c>
      <c r="S39" s="105">
        <v>19</v>
      </c>
    </row>
    <row r="40" spans="1:19" s="112" customFormat="1" ht="40.5" customHeight="1" thickBot="1" thickTop="1">
      <c r="A40" s="106">
        <v>1</v>
      </c>
      <c r="B40" s="107" t="s">
        <v>231</v>
      </c>
      <c r="C40" s="62" t="s">
        <v>180</v>
      </c>
      <c r="D40" s="108" t="str">
        <f>B$36</f>
        <v>Творческая студия</v>
      </c>
      <c r="E40" s="63">
        <f>ROUND(O40/18/4,2)</f>
        <v>0.11</v>
      </c>
      <c r="F40" s="63">
        <v>8999</v>
      </c>
      <c r="G40" s="110">
        <f>E40*F40</f>
        <v>989.89</v>
      </c>
      <c r="H40" s="64">
        <v>0</v>
      </c>
      <c r="I40" s="64">
        <v>0</v>
      </c>
      <c r="J40" s="372">
        <f>K40/G40</f>
        <v>8.866</v>
      </c>
      <c r="K40" s="65">
        <f>N40*O40*P40</f>
        <v>8776.8</v>
      </c>
      <c r="L40" s="63">
        <f>18*25*4</f>
        <v>1800</v>
      </c>
      <c r="M40" s="106">
        <f>N40*O40</f>
        <v>184</v>
      </c>
      <c r="N40" s="106">
        <v>23</v>
      </c>
      <c r="O40" s="63">
        <f>8</f>
        <v>8</v>
      </c>
      <c r="P40" s="111">
        <v>47.7</v>
      </c>
      <c r="Q40" s="110">
        <f>N40*O40*P40</f>
        <v>8776.8</v>
      </c>
      <c r="R40" s="110">
        <f>Q40*0.15</f>
        <v>1316.52</v>
      </c>
      <c r="S40" s="110">
        <f>Q40+R40</f>
        <v>10093.32</v>
      </c>
    </row>
    <row r="41" spans="1:19" s="39" customFormat="1" ht="13.5" hidden="1" thickBot="1">
      <c r="A41" s="71">
        <v>2</v>
      </c>
      <c r="B41" s="70"/>
      <c r="C41" s="71" t="s">
        <v>52</v>
      </c>
      <c r="D41" s="72" t="str">
        <f aca="true" t="shared" si="11" ref="D41:D49">B$36</f>
        <v>Творческая студия</v>
      </c>
      <c r="E41" s="71"/>
      <c r="F41" s="71">
        <f aca="true" t="shared" si="12" ref="F41:F49">ROUND(O41/18/4,2)</f>
        <v>0</v>
      </c>
      <c r="G41" s="71">
        <v>7570</v>
      </c>
      <c r="H41" s="73">
        <f>H$24</f>
        <v>0</v>
      </c>
      <c r="I41" s="73">
        <v>0</v>
      </c>
      <c r="J41" s="71"/>
      <c r="K41" s="74">
        <f aca="true" t="shared" si="13" ref="K41:K49">(G41+G41*(H41+I41))*J41</f>
        <v>0</v>
      </c>
      <c r="L41" s="71">
        <f aca="true" t="shared" si="14" ref="L41:L49">18*25*4</f>
        <v>1800</v>
      </c>
      <c r="M41" s="71">
        <f aca="true" t="shared" si="15" ref="M41:M49">N41*O41</f>
        <v>0</v>
      </c>
      <c r="N41" s="71"/>
      <c r="O41" s="71"/>
      <c r="P41" s="75">
        <f aca="true" t="shared" si="16" ref="P41:P49">ROUND(K41/L41,2)</f>
        <v>0</v>
      </c>
      <c r="Q41" s="74">
        <f aca="true" t="shared" si="17" ref="Q41:Q49">N41*O41*P41</f>
        <v>0</v>
      </c>
      <c r="R41" s="74">
        <f aca="true" t="shared" si="18" ref="R41:R49">Q41*0.15</f>
        <v>0</v>
      </c>
      <c r="S41" s="74">
        <f aca="true" t="shared" si="19" ref="S41:S49">Q41+R41</f>
        <v>0</v>
      </c>
    </row>
    <row r="42" spans="1:19" s="39" customFormat="1" ht="13.5" hidden="1" thickBot="1">
      <c r="A42" s="71">
        <v>3</v>
      </c>
      <c r="B42" s="70"/>
      <c r="C42" s="71" t="s">
        <v>52</v>
      </c>
      <c r="D42" s="72" t="str">
        <f t="shared" si="11"/>
        <v>Творческая студия</v>
      </c>
      <c r="E42" s="71"/>
      <c r="F42" s="71">
        <f t="shared" si="12"/>
        <v>0</v>
      </c>
      <c r="G42" s="71">
        <v>7570</v>
      </c>
      <c r="H42" s="73">
        <f aca="true" t="shared" si="20" ref="H42:H49">H$24</f>
        <v>0</v>
      </c>
      <c r="I42" s="73"/>
      <c r="J42" s="71"/>
      <c r="K42" s="74">
        <f t="shared" si="13"/>
        <v>0</v>
      </c>
      <c r="L42" s="71">
        <f t="shared" si="14"/>
        <v>1800</v>
      </c>
      <c r="M42" s="71">
        <f t="shared" si="15"/>
        <v>0</v>
      </c>
      <c r="N42" s="71"/>
      <c r="O42" s="71"/>
      <c r="P42" s="75">
        <f t="shared" si="16"/>
        <v>0</v>
      </c>
      <c r="Q42" s="74">
        <f t="shared" si="17"/>
        <v>0</v>
      </c>
      <c r="R42" s="74">
        <f t="shared" si="18"/>
        <v>0</v>
      </c>
      <c r="S42" s="74">
        <f t="shared" si="19"/>
        <v>0</v>
      </c>
    </row>
    <row r="43" spans="1:19" s="39" customFormat="1" ht="13.5" hidden="1" thickBot="1">
      <c r="A43" s="71">
        <v>4</v>
      </c>
      <c r="B43" s="70"/>
      <c r="C43" s="71" t="s">
        <v>52</v>
      </c>
      <c r="D43" s="72" t="str">
        <f t="shared" si="11"/>
        <v>Творческая студия</v>
      </c>
      <c r="E43" s="71"/>
      <c r="F43" s="71">
        <f t="shared" si="12"/>
        <v>0</v>
      </c>
      <c r="G43" s="71">
        <v>7570</v>
      </c>
      <c r="H43" s="73">
        <f t="shared" si="20"/>
        <v>0</v>
      </c>
      <c r="I43" s="73"/>
      <c r="J43" s="71"/>
      <c r="K43" s="74">
        <f t="shared" si="13"/>
        <v>0</v>
      </c>
      <c r="L43" s="71">
        <f t="shared" si="14"/>
        <v>1800</v>
      </c>
      <c r="M43" s="71">
        <f t="shared" si="15"/>
        <v>0</v>
      </c>
      <c r="N43" s="71"/>
      <c r="O43" s="71"/>
      <c r="P43" s="75">
        <f t="shared" si="16"/>
        <v>0</v>
      </c>
      <c r="Q43" s="74">
        <f t="shared" si="17"/>
        <v>0</v>
      </c>
      <c r="R43" s="74">
        <f t="shared" si="18"/>
        <v>0</v>
      </c>
      <c r="S43" s="74">
        <f t="shared" si="19"/>
        <v>0</v>
      </c>
    </row>
    <row r="44" spans="1:19" s="39" customFormat="1" ht="13.5" hidden="1" thickBot="1">
      <c r="A44" s="71">
        <v>5</v>
      </c>
      <c r="B44" s="70"/>
      <c r="C44" s="71" t="s">
        <v>52</v>
      </c>
      <c r="D44" s="72" t="str">
        <f t="shared" si="11"/>
        <v>Творческая студия</v>
      </c>
      <c r="E44" s="71"/>
      <c r="F44" s="71">
        <f t="shared" si="12"/>
        <v>0</v>
      </c>
      <c r="G44" s="71">
        <v>7570</v>
      </c>
      <c r="H44" s="73">
        <f t="shared" si="20"/>
        <v>0</v>
      </c>
      <c r="I44" s="73"/>
      <c r="J44" s="71"/>
      <c r="K44" s="74">
        <f t="shared" si="13"/>
        <v>0</v>
      </c>
      <c r="L44" s="71">
        <f t="shared" si="14"/>
        <v>1800</v>
      </c>
      <c r="M44" s="71">
        <f t="shared" si="15"/>
        <v>0</v>
      </c>
      <c r="N44" s="71"/>
      <c r="O44" s="71"/>
      <c r="P44" s="75">
        <f t="shared" si="16"/>
        <v>0</v>
      </c>
      <c r="Q44" s="74">
        <f t="shared" si="17"/>
        <v>0</v>
      </c>
      <c r="R44" s="74">
        <f t="shared" si="18"/>
        <v>0</v>
      </c>
      <c r="S44" s="74">
        <f t="shared" si="19"/>
        <v>0</v>
      </c>
    </row>
    <row r="45" spans="1:19" s="39" customFormat="1" ht="13.5" hidden="1" thickBot="1">
      <c r="A45" s="71">
        <v>6</v>
      </c>
      <c r="B45" s="70"/>
      <c r="C45" s="71" t="s">
        <v>52</v>
      </c>
      <c r="D45" s="72" t="str">
        <f t="shared" si="11"/>
        <v>Творческая студия</v>
      </c>
      <c r="E45" s="71"/>
      <c r="F45" s="71">
        <f t="shared" si="12"/>
        <v>0</v>
      </c>
      <c r="G45" s="71">
        <v>7570</v>
      </c>
      <c r="H45" s="73">
        <f t="shared" si="20"/>
        <v>0</v>
      </c>
      <c r="I45" s="73"/>
      <c r="J45" s="71"/>
      <c r="K45" s="74">
        <f t="shared" si="13"/>
        <v>0</v>
      </c>
      <c r="L45" s="71">
        <f t="shared" si="14"/>
        <v>1800</v>
      </c>
      <c r="M45" s="71">
        <f t="shared" si="15"/>
        <v>0</v>
      </c>
      <c r="N45" s="71"/>
      <c r="O45" s="71"/>
      <c r="P45" s="75">
        <f t="shared" si="16"/>
        <v>0</v>
      </c>
      <c r="Q45" s="74">
        <f t="shared" si="17"/>
        <v>0</v>
      </c>
      <c r="R45" s="74">
        <f t="shared" si="18"/>
        <v>0</v>
      </c>
      <c r="S45" s="74">
        <f t="shared" si="19"/>
        <v>0</v>
      </c>
    </row>
    <row r="46" spans="1:19" s="39" customFormat="1" ht="13.5" hidden="1" thickBot="1">
      <c r="A46" s="71">
        <v>7</v>
      </c>
      <c r="B46" s="70"/>
      <c r="C46" s="71" t="s">
        <v>52</v>
      </c>
      <c r="D46" s="72" t="str">
        <f t="shared" si="11"/>
        <v>Творческая студия</v>
      </c>
      <c r="E46" s="71"/>
      <c r="F46" s="71">
        <f t="shared" si="12"/>
        <v>0</v>
      </c>
      <c r="G46" s="71">
        <v>7570</v>
      </c>
      <c r="H46" s="73">
        <f t="shared" si="20"/>
        <v>0</v>
      </c>
      <c r="I46" s="73"/>
      <c r="J46" s="71"/>
      <c r="K46" s="74">
        <f t="shared" si="13"/>
        <v>0</v>
      </c>
      <c r="L46" s="71">
        <f t="shared" si="14"/>
        <v>1800</v>
      </c>
      <c r="M46" s="71">
        <f t="shared" si="15"/>
        <v>0</v>
      </c>
      <c r="N46" s="71"/>
      <c r="O46" s="71"/>
      <c r="P46" s="75">
        <f t="shared" si="16"/>
        <v>0</v>
      </c>
      <c r="Q46" s="74">
        <f t="shared" si="17"/>
        <v>0</v>
      </c>
      <c r="R46" s="74">
        <f t="shared" si="18"/>
        <v>0</v>
      </c>
      <c r="S46" s="74">
        <f t="shared" si="19"/>
        <v>0</v>
      </c>
    </row>
    <row r="47" spans="1:19" s="39" customFormat="1" ht="13.5" hidden="1" thickBot="1">
      <c r="A47" s="71">
        <v>8</v>
      </c>
      <c r="B47" s="70"/>
      <c r="C47" s="71" t="s">
        <v>52</v>
      </c>
      <c r="D47" s="72" t="str">
        <f t="shared" si="11"/>
        <v>Творческая студия</v>
      </c>
      <c r="E47" s="71"/>
      <c r="F47" s="71">
        <f t="shared" si="12"/>
        <v>0</v>
      </c>
      <c r="G47" s="71">
        <v>7570</v>
      </c>
      <c r="H47" s="73">
        <f t="shared" si="20"/>
        <v>0</v>
      </c>
      <c r="I47" s="73"/>
      <c r="J47" s="71"/>
      <c r="K47" s="74">
        <f t="shared" si="13"/>
        <v>0</v>
      </c>
      <c r="L47" s="71">
        <f t="shared" si="14"/>
        <v>1800</v>
      </c>
      <c r="M47" s="71">
        <f t="shared" si="15"/>
        <v>0</v>
      </c>
      <c r="N47" s="71"/>
      <c r="O47" s="71"/>
      <c r="P47" s="75">
        <f t="shared" si="16"/>
        <v>0</v>
      </c>
      <c r="Q47" s="74">
        <f t="shared" si="17"/>
        <v>0</v>
      </c>
      <c r="R47" s="74">
        <f t="shared" si="18"/>
        <v>0</v>
      </c>
      <c r="S47" s="74">
        <f t="shared" si="19"/>
        <v>0</v>
      </c>
    </row>
    <row r="48" spans="1:19" s="39" customFormat="1" ht="13.5" hidden="1" thickBot="1">
      <c r="A48" s="71">
        <v>9</v>
      </c>
      <c r="B48" s="70"/>
      <c r="C48" s="71" t="s">
        <v>52</v>
      </c>
      <c r="D48" s="72" t="str">
        <f t="shared" si="11"/>
        <v>Творческая студия</v>
      </c>
      <c r="E48" s="71"/>
      <c r="F48" s="71">
        <f t="shared" si="12"/>
        <v>0</v>
      </c>
      <c r="G48" s="71">
        <v>7570</v>
      </c>
      <c r="H48" s="73">
        <f t="shared" si="20"/>
        <v>0</v>
      </c>
      <c r="I48" s="73"/>
      <c r="J48" s="71"/>
      <c r="K48" s="74">
        <f t="shared" si="13"/>
        <v>0</v>
      </c>
      <c r="L48" s="71">
        <f t="shared" si="14"/>
        <v>1800</v>
      </c>
      <c r="M48" s="71">
        <f t="shared" si="15"/>
        <v>0</v>
      </c>
      <c r="N48" s="71"/>
      <c r="O48" s="71"/>
      <c r="P48" s="75">
        <f t="shared" si="16"/>
        <v>0</v>
      </c>
      <c r="Q48" s="74">
        <f t="shared" si="17"/>
        <v>0</v>
      </c>
      <c r="R48" s="74">
        <f t="shared" si="18"/>
        <v>0</v>
      </c>
      <c r="S48" s="74">
        <f t="shared" si="19"/>
        <v>0</v>
      </c>
    </row>
    <row r="49" spans="1:19" s="39" customFormat="1" ht="13.5" hidden="1" thickBot="1">
      <c r="A49" s="71">
        <v>10</v>
      </c>
      <c r="B49" s="70"/>
      <c r="C49" s="71" t="s">
        <v>52</v>
      </c>
      <c r="D49" s="72" t="str">
        <f t="shared" si="11"/>
        <v>Творческая студия</v>
      </c>
      <c r="E49" s="79"/>
      <c r="F49" s="79">
        <f t="shared" si="12"/>
        <v>0</v>
      </c>
      <c r="G49" s="79">
        <v>7570</v>
      </c>
      <c r="H49" s="81">
        <f t="shared" si="20"/>
        <v>0</v>
      </c>
      <c r="I49" s="81"/>
      <c r="J49" s="79"/>
      <c r="K49" s="82">
        <f t="shared" si="13"/>
        <v>0</v>
      </c>
      <c r="L49" s="79">
        <f t="shared" si="14"/>
        <v>1800</v>
      </c>
      <c r="M49" s="71">
        <f t="shared" si="15"/>
        <v>0</v>
      </c>
      <c r="N49" s="71"/>
      <c r="O49" s="71"/>
      <c r="P49" s="75">
        <f t="shared" si="16"/>
        <v>0</v>
      </c>
      <c r="Q49" s="74">
        <f t="shared" si="17"/>
        <v>0</v>
      </c>
      <c r="R49" s="74">
        <f t="shared" si="18"/>
        <v>0</v>
      </c>
      <c r="S49" s="74">
        <f t="shared" si="19"/>
        <v>0</v>
      </c>
    </row>
    <row r="50" spans="1:19" s="39" customFormat="1" ht="13.5" thickBot="1">
      <c r="A50" s="113"/>
      <c r="B50" s="114"/>
      <c r="C50" s="114"/>
      <c r="D50" s="114" t="s">
        <v>53</v>
      </c>
      <c r="E50" s="86"/>
      <c r="F50" s="87">
        <f>SUM(F40:F49)</f>
        <v>8999</v>
      </c>
      <c r="G50" s="86"/>
      <c r="H50" s="86"/>
      <c r="I50" s="86"/>
      <c r="J50" s="86"/>
      <c r="K50" s="88"/>
      <c r="L50" s="86"/>
      <c r="M50" s="117">
        <f aca="true" t="shared" si="21" ref="M50:S50">SUM(M40:M49)</f>
        <v>184</v>
      </c>
      <c r="N50" s="117">
        <f t="shared" si="21"/>
        <v>23</v>
      </c>
      <c r="O50" s="117">
        <f t="shared" si="21"/>
        <v>8</v>
      </c>
      <c r="P50" s="117">
        <f t="shared" si="21"/>
        <v>48</v>
      </c>
      <c r="Q50" s="87">
        <f t="shared" si="21"/>
        <v>8776.8</v>
      </c>
      <c r="R50" s="87">
        <f t="shared" si="21"/>
        <v>1316.52</v>
      </c>
      <c r="S50" s="87">
        <f t="shared" si="21"/>
        <v>10093.32</v>
      </c>
    </row>
    <row r="51" spans="1:19" s="39" customFormat="1" ht="12.75">
      <c r="A51" s="118"/>
      <c r="B51" s="92"/>
      <c r="C51" s="92"/>
      <c r="D51" s="92"/>
      <c r="E51" s="92"/>
      <c r="F51" s="93"/>
      <c r="G51" s="92"/>
      <c r="H51" s="92"/>
      <c r="I51" s="92"/>
      <c r="J51" s="92"/>
      <c r="K51" s="94"/>
      <c r="L51" s="92"/>
      <c r="M51" s="95"/>
      <c r="N51" s="95">
        <f>доходы!C14</f>
        <v>23</v>
      </c>
      <c r="O51" s="96" t="s">
        <v>116</v>
      </c>
      <c r="P51" s="119"/>
      <c r="Q51" s="120"/>
      <c r="R51" s="121"/>
      <c r="S51" s="121"/>
    </row>
    <row r="52" spans="1:19" s="39" customFormat="1" ht="12.75">
      <c r="A52" s="53" t="s">
        <v>100</v>
      </c>
      <c r="B52" s="41" t="str">
        <f>доходы!B15</f>
        <v>Услуга логопедической помощи</v>
      </c>
      <c r="F52" s="40"/>
      <c r="G52" s="40"/>
      <c r="H52" s="40"/>
      <c r="I52" s="40"/>
      <c r="J52" s="40"/>
      <c r="K52" s="50"/>
      <c r="L52" s="40"/>
      <c r="M52" s="40"/>
      <c r="N52" s="40"/>
      <c r="O52" s="40"/>
      <c r="P52" s="40"/>
      <c r="Q52" s="40"/>
      <c r="R52" s="40"/>
      <c r="S52" s="40"/>
    </row>
    <row r="53" spans="1:19" s="39" customFormat="1" ht="13.5" thickBo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50"/>
      <c r="L53" s="40"/>
      <c r="M53" s="40"/>
      <c r="N53" s="40"/>
      <c r="O53" s="40"/>
      <c r="P53" s="40"/>
      <c r="Q53" s="40"/>
      <c r="R53" s="40"/>
      <c r="S53" s="40"/>
    </row>
    <row r="54" spans="1:19" s="39" customFormat="1" ht="51.75" thickBot="1">
      <c r="A54" s="54" t="s">
        <v>1</v>
      </c>
      <c r="B54" s="54" t="s">
        <v>2</v>
      </c>
      <c r="C54" s="54" t="s">
        <v>8</v>
      </c>
      <c r="D54" s="54" t="s">
        <v>3</v>
      </c>
      <c r="E54" s="54" t="s">
        <v>214</v>
      </c>
      <c r="F54" s="54" t="s">
        <v>215</v>
      </c>
      <c r="G54" s="54" t="s">
        <v>216</v>
      </c>
      <c r="H54" s="54" t="s">
        <v>117</v>
      </c>
      <c r="I54" s="54" t="s">
        <v>99</v>
      </c>
      <c r="J54" s="54" t="s">
        <v>213</v>
      </c>
      <c r="K54" s="55" t="s">
        <v>66</v>
      </c>
      <c r="L54" s="54" t="s">
        <v>67</v>
      </c>
      <c r="M54" s="54" t="s">
        <v>6</v>
      </c>
      <c r="N54" s="54" t="s">
        <v>54</v>
      </c>
      <c r="O54" s="54" t="s">
        <v>7</v>
      </c>
      <c r="P54" s="54" t="s">
        <v>48</v>
      </c>
      <c r="Q54" s="54" t="s">
        <v>49</v>
      </c>
      <c r="R54" s="54" t="s">
        <v>50</v>
      </c>
      <c r="S54" s="54" t="s">
        <v>51</v>
      </c>
    </row>
    <row r="55" spans="1:19" s="39" customFormat="1" ht="13.5" thickBot="1">
      <c r="A55" s="56">
        <v>1</v>
      </c>
      <c r="B55" s="57">
        <v>2</v>
      </c>
      <c r="C55" s="57">
        <v>3</v>
      </c>
      <c r="D55" s="57">
        <v>4</v>
      </c>
      <c r="E55" s="57">
        <v>5</v>
      </c>
      <c r="F55" s="57">
        <v>6</v>
      </c>
      <c r="G55" s="57">
        <v>7</v>
      </c>
      <c r="H55" s="57">
        <v>8</v>
      </c>
      <c r="I55" s="57">
        <v>9</v>
      </c>
      <c r="J55" s="57">
        <v>10</v>
      </c>
      <c r="K55" s="58">
        <v>11</v>
      </c>
      <c r="L55" s="57">
        <v>12</v>
      </c>
      <c r="M55" s="57">
        <v>13</v>
      </c>
      <c r="N55" s="57">
        <v>14</v>
      </c>
      <c r="O55" s="57">
        <v>15</v>
      </c>
      <c r="P55" s="57">
        <v>16</v>
      </c>
      <c r="Q55" s="57">
        <v>17</v>
      </c>
      <c r="R55" s="57">
        <v>18</v>
      </c>
      <c r="S55" s="59">
        <v>19</v>
      </c>
    </row>
    <row r="56" spans="1:19" s="112" customFormat="1" ht="39.75" thickBot="1" thickTop="1">
      <c r="A56" s="60">
        <v>1</v>
      </c>
      <c r="B56" s="61" t="s">
        <v>232</v>
      </c>
      <c r="C56" s="62" t="s">
        <v>180</v>
      </c>
      <c r="D56" s="61" t="str">
        <f>B$52</f>
        <v>Услуга логопедической помощи</v>
      </c>
      <c r="E56" s="63">
        <f>ROUND(O56/18/4,2)</f>
        <v>0.11</v>
      </c>
      <c r="F56" s="63">
        <v>8999</v>
      </c>
      <c r="G56" s="110">
        <f>E56*F56</f>
        <v>989.89</v>
      </c>
      <c r="H56" s="64">
        <v>0</v>
      </c>
      <c r="I56" s="64">
        <v>0</v>
      </c>
      <c r="J56" s="372">
        <f>K56/G56</f>
        <v>7.324</v>
      </c>
      <c r="K56" s="65">
        <f>N56*O56*P56</f>
        <v>7250.4</v>
      </c>
      <c r="L56" s="63">
        <f>18*25*4</f>
        <v>1800</v>
      </c>
      <c r="M56" s="63">
        <f>N56*O56</f>
        <v>152</v>
      </c>
      <c r="N56" s="63">
        <v>19</v>
      </c>
      <c r="O56" s="63">
        <v>8</v>
      </c>
      <c r="P56" s="66">
        <v>47.7</v>
      </c>
      <c r="Q56" s="65">
        <f>N56*O56*P56</f>
        <v>7250.4</v>
      </c>
      <c r="R56" s="65">
        <f>Q56*0.15</f>
        <v>1087.56</v>
      </c>
      <c r="S56" s="67">
        <f>Q56+R56</f>
        <v>8337.96</v>
      </c>
    </row>
    <row r="57" spans="1:19" s="39" customFormat="1" ht="26.25" hidden="1" thickBot="1">
      <c r="A57" s="69">
        <v>2</v>
      </c>
      <c r="B57" s="70"/>
      <c r="C57" s="71" t="s">
        <v>52</v>
      </c>
      <c r="D57" s="72" t="str">
        <f aca="true" t="shared" si="22" ref="D57:D65">B$52</f>
        <v>Услуга логопедической помощи</v>
      </c>
      <c r="E57" s="71"/>
      <c r="F57" s="71">
        <f aca="true" t="shared" si="23" ref="F57:F65">ROUND(O57/18/4,2)</f>
        <v>0</v>
      </c>
      <c r="G57" s="71">
        <v>7570</v>
      </c>
      <c r="H57" s="73">
        <f>H$24</f>
        <v>0</v>
      </c>
      <c r="I57" s="73">
        <v>0</v>
      </c>
      <c r="J57" s="71"/>
      <c r="K57" s="74">
        <f aca="true" t="shared" si="24" ref="K57:K65">(G57+G57*(H57+I57))*J57</f>
        <v>0</v>
      </c>
      <c r="L57" s="71">
        <f aca="true" t="shared" si="25" ref="L57:L65">18*25*4</f>
        <v>1800</v>
      </c>
      <c r="M57" s="71">
        <f aca="true" t="shared" si="26" ref="M57:M65">N57*O57</f>
        <v>0</v>
      </c>
      <c r="N57" s="71"/>
      <c r="O57" s="71"/>
      <c r="P57" s="75">
        <f aca="true" t="shared" si="27" ref="P57:P65">ROUND(K57/L57,2)</f>
        <v>0</v>
      </c>
      <c r="Q57" s="74">
        <f aca="true" t="shared" si="28" ref="Q57:Q65">N57*O57*P57</f>
        <v>0</v>
      </c>
      <c r="R57" s="74">
        <f aca="true" t="shared" si="29" ref="R57:R65">Q57*0.15</f>
        <v>0</v>
      </c>
      <c r="S57" s="76">
        <f aca="true" t="shared" si="30" ref="S57:S65">Q57+R57</f>
        <v>0</v>
      </c>
    </row>
    <row r="58" spans="1:19" s="39" customFormat="1" ht="26.25" hidden="1" thickBot="1">
      <c r="A58" s="69">
        <v>3</v>
      </c>
      <c r="B58" s="70"/>
      <c r="C58" s="71" t="s">
        <v>52</v>
      </c>
      <c r="D58" s="72" t="str">
        <f t="shared" si="22"/>
        <v>Услуга логопедической помощи</v>
      </c>
      <c r="E58" s="71"/>
      <c r="F58" s="71">
        <f t="shared" si="23"/>
        <v>0</v>
      </c>
      <c r="G58" s="71">
        <v>7570</v>
      </c>
      <c r="H58" s="73">
        <f aca="true" t="shared" si="31" ref="H58:H65">H$24</f>
        <v>0</v>
      </c>
      <c r="I58" s="73"/>
      <c r="J58" s="71"/>
      <c r="K58" s="74">
        <f t="shared" si="24"/>
        <v>0</v>
      </c>
      <c r="L58" s="71">
        <f t="shared" si="25"/>
        <v>1800</v>
      </c>
      <c r="M58" s="71">
        <f t="shared" si="26"/>
        <v>0</v>
      </c>
      <c r="N58" s="71"/>
      <c r="O58" s="71"/>
      <c r="P58" s="75">
        <f t="shared" si="27"/>
        <v>0</v>
      </c>
      <c r="Q58" s="74">
        <f t="shared" si="28"/>
        <v>0</v>
      </c>
      <c r="R58" s="74">
        <f t="shared" si="29"/>
        <v>0</v>
      </c>
      <c r="S58" s="76">
        <f t="shared" si="30"/>
        <v>0</v>
      </c>
    </row>
    <row r="59" spans="1:19" s="39" customFormat="1" ht="26.25" hidden="1" thickBot="1">
      <c r="A59" s="69">
        <v>4</v>
      </c>
      <c r="B59" s="70"/>
      <c r="C59" s="71" t="s">
        <v>52</v>
      </c>
      <c r="D59" s="72" t="str">
        <f t="shared" si="22"/>
        <v>Услуга логопедической помощи</v>
      </c>
      <c r="E59" s="71"/>
      <c r="F59" s="71">
        <f t="shared" si="23"/>
        <v>0</v>
      </c>
      <c r="G59" s="71">
        <v>7570</v>
      </c>
      <c r="H59" s="73">
        <f t="shared" si="31"/>
        <v>0</v>
      </c>
      <c r="I59" s="73"/>
      <c r="J59" s="71"/>
      <c r="K59" s="74">
        <f t="shared" si="24"/>
        <v>0</v>
      </c>
      <c r="L59" s="71">
        <f t="shared" si="25"/>
        <v>1800</v>
      </c>
      <c r="M59" s="71">
        <f t="shared" si="26"/>
        <v>0</v>
      </c>
      <c r="N59" s="71"/>
      <c r="O59" s="71"/>
      <c r="P59" s="75">
        <f t="shared" si="27"/>
        <v>0</v>
      </c>
      <c r="Q59" s="74">
        <f t="shared" si="28"/>
        <v>0</v>
      </c>
      <c r="R59" s="74">
        <f t="shared" si="29"/>
        <v>0</v>
      </c>
      <c r="S59" s="76">
        <f t="shared" si="30"/>
        <v>0</v>
      </c>
    </row>
    <row r="60" spans="1:19" s="39" customFormat="1" ht="26.25" hidden="1" thickBot="1">
      <c r="A60" s="69">
        <v>5</v>
      </c>
      <c r="B60" s="70"/>
      <c r="C60" s="71" t="s">
        <v>52</v>
      </c>
      <c r="D60" s="72" t="str">
        <f t="shared" si="22"/>
        <v>Услуга логопедической помощи</v>
      </c>
      <c r="E60" s="71"/>
      <c r="F60" s="71">
        <f t="shared" si="23"/>
        <v>0</v>
      </c>
      <c r="G60" s="71">
        <v>7570</v>
      </c>
      <c r="H60" s="73">
        <f t="shared" si="31"/>
        <v>0</v>
      </c>
      <c r="I60" s="73"/>
      <c r="J60" s="71"/>
      <c r="K60" s="74">
        <f t="shared" si="24"/>
        <v>0</v>
      </c>
      <c r="L60" s="71">
        <f t="shared" si="25"/>
        <v>1800</v>
      </c>
      <c r="M60" s="71">
        <f t="shared" si="26"/>
        <v>0</v>
      </c>
      <c r="N60" s="71"/>
      <c r="O60" s="71"/>
      <c r="P60" s="75">
        <f t="shared" si="27"/>
        <v>0</v>
      </c>
      <c r="Q60" s="74">
        <f t="shared" si="28"/>
        <v>0</v>
      </c>
      <c r="R60" s="74">
        <f t="shared" si="29"/>
        <v>0</v>
      </c>
      <c r="S60" s="76">
        <f t="shared" si="30"/>
        <v>0</v>
      </c>
    </row>
    <row r="61" spans="1:19" s="39" customFormat="1" ht="26.25" hidden="1" thickBot="1">
      <c r="A61" s="69">
        <v>6</v>
      </c>
      <c r="B61" s="70"/>
      <c r="C61" s="71" t="s">
        <v>52</v>
      </c>
      <c r="D61" s="72" t="str">
        <f t="shared" si="22"/>
        <v>Услуга логопедической помощи</v>
      </c>
      <c r="E61" s="71"/>
      <c r="F61" s="71">
        <f t="shared" si="23"/>
        <v>0</v>
      </c>
      <c r="G61" s="71">
        <v>7570</v>
      </c>
      <c r="H61" s="73">
        <f t="shared" si="31"/>
        <v>0</v>
      </c>
      <c r="I61" s="73"/>
      <c r="J61" s="71"/>
      <c r="K61" s="74">
        <f t="shared" si="24"/>
        <v>0</v>
      </c>
      <c r="L61" s="71">
        <f t="shared" si="25"/>
        <v>1800</v>
      </c>
      <c r="M61" s="71">
        <f t="shared" si="26"/>
        <v>0</v>
      </c>
      <c r="N61" s="71"/>
      <c r="O61" s="71"/>
      <c r="P61" s="75">
        <f t="shared" si="27"/>
        <v>0</v>
      </c>
      <c r="Q61" s="74">
        <f t="shared" si="28"/>
        <v>0</v>
      </c>
      <c r="R61" s="74">
        <f t="shared" si="29"/>
        <v>0</v>
      </c>
      <c r="S61" s="76">
        <f t="shared" si="30"/>
        <v>0</v>
      </c>
    </row>
    <row r="62" spans="1:19" s="39" customFormat="1" ht="26.25" hidden="1" thickBot="1">
      <c r="A62" s="69">
        <v>7</v>
      </c>
      <c r="B62" s="70"/>
      <c r="C62" s="71" t="s">
        <v>52</v>
      </c>
      <c r="D62" s="72" t="str">
        <f t="shared" si="22"/>
        <v>Услуга логопедической помощи</v>
      </c>
      <c r="E62" s="71"/>
      <c r="F62" s="71">
        <f t="shared" si="23"/>
        <v>0</v>
      </c>
      <c r="G62" s="71">
        <v>7570</v>
      </c>
      <c r="H62" s="73">
        <f t="shared" si="31"/>
        <v>0</v>
      </c>
      <c r="I62" s="73"/>
      <c r="J62" s="71"/>
      <c r="K62" s="74">
        <f t="shared" si="24"/>
        <v>0</v>
      </c>
      <c r="L62" s="71">
        <f t="shared" si="25"/>
        <v>1800</v>
      </c>
      <c r="M62" s="71">
        <f t="shared" si="26"/>
        <v>0</v>
      </c>
      <c r="N62" s="71"/>
      <c r="O62" s="71"/>
      <c r="P62" s="75">
        <f t="shared" si="27"/>
        <v>0</v>
      </c>
      <c r="Q62" s="74">
        <f t="shared" si="28"/>
        <v>0</v>
      </c>
      <c r="R62" s="74">
        <f t="shared" si="29"/>
        <v>0</v>
      </c>
      <c r="S62" s="76">
        <f t="shared" si="30"/>
        <v>0</v>
      </c>
    </row>
    <row r="63" spans="1:19" s="39" customFormat="1" ht="26.25" hidden="1" thickBot="1">
      <c r="A63" s="69">
        <v>8</v>
      </c>
      <c r="B63" s="70"/>
      <c r="C63" s="71" t="s">
        <v>52</v>
      </c>
      <c r="D63" s="72" t="str">
        <f t="shared" si="22"/>
        <v>Услуга логопедической помощи</v>
      </c>
      <c r="E63" s="71"/>
      <c r="F63" s="71">
        <f t="shared" si="23"/>
        <v>0</v>
      </c>
      <c r="G63" s="71">
        <v>7570</v>
      </c>
      <c r="H63" s="73">
        <f t="shared" si="31"/>
        <v>0</v>
      </c>
      <c r="I63" s="73"/>
      <c r="J63" s="71"/>
      <c r="K63" s="74">
        <f t="shared" si="24"/>
        <v>0</v>
      </c>
      <c r="L63" s="71">
        <f t="shared" si="25"/>
        <v>1800</v>
      </c>
      <c r="M63" s="71">
        <f t="shared" si="26"/>
        <v>0</v>
      </c>
      <c r="N63" s="71"/>
      <c r="O63" s="71"/>
      <c r="P63" s="75">
        <f t="shared" si="27"/>
        <v>0</v>
      </c>
      <c r="Q63" s="74">
        <f t="shared" si="28"/>
        <v>0</v>
      </c>
      <c r="R63" s="74">
        <f t="shared" si="29"/>
        <v>0</v>
      </c>
      <c r="S63" s="76">
        <f t="shared" si="30"/>
        <v>0</v>
      </c>
    </row>
    <row r="64" spans="1:19" s="39" customFormat="1" ht="26.25" hidden="1" thickBot="1">
      <c r="A64" s="69">
        <v>9</v>
      </c>
      <c r="B64" s="70"/>
      <c r="C64" s="71" t="s">
        <v>52</v>
      </c>
      <c r="D64" s="72" t="str">
        <f t="shared" si="22"/>
        <v>Услуга логопедической помощи</v>
      </c>
      <c r="E64" s="71"/>
      <c r="F64" s="71">
        <f t="shared" si="23"/>
        <v>0</v>
      </c>
      <c r="G64" s="71">
        <v>7570</v>
      </c>
      <c r="H64" s="73">
        <f t="shared" si="31"/>
        <v>0</v>
      </c>
      <c r="I64" s="73"/>
      <c r="J64" s="71"/>
      <c r="K64" s="74">
        <f t="shared" si="24"/>
        <v>0</v>
      </c>
      <c r="L64" s="71">
        <f t="shared" si="25"/>
        <v>1800</v>
      </c>
      <c r="M64" s="71">
        <f t="shared" si="26"/>
        <v>0</v>
      </c>
      <c r="N64" s="71"/>
      <c r="O64" s="71"/>
      <c r="P64" s="75">
        <f t="shared" si="27"/>
        <v>0</v>
      </c>
      <c r="Q64" s="74">
        <f t="shared" si="28"/>
        <v>0</v>
      </c>
      <c r="R64" s="74">
        <f t="shared" si="29"/>
        <v>0</v>
      </c>
      <c r="S64" s="76">
        <f t="shared" si="30"/>
        <v>0</v>
      </c>
    </row>
    <row r="65" spans="1:19" s="39" customFormat="1" ht="26.25" hidden="1" thickBot="1">
      <c r="A65" s="77">
        <v>10</v>
      </c>
      <c r="B65" s="78"/>
      <c r="C65" s="79" t="s">
        <v>52</v>
      </c>
      <c r="D65" s="80" t="str">
        <f t="shared" si="22"/>
        <v>Услуга логопедической помощи</v>
      </c>
      <c r="E65" s="79"/>
      <c r="F65" s="79">
        <f t="shared" si="23"/>
        <v>0</v>
      </c>
      <c r="G65" s="79">
        <v>7570</v>
      </c>
      <c r="H65" s="81">
        <f t="shared" si="31"/>
        <v>0</v>
      </c>
      <c r="I65" s="81"/>
      <c r="J65" s="79"/>
      <c r="K65" s="82">
        <f t="shared" si="24"/>
        <v>0</v>
      </c>
      <c r="L65" s="79">
        <f t="shared" si="25"/>
        <v>1800</v>
      </c>
      <c r="M65" s="79">
        <f t="shared" si="26"/>
        <v>0</v>
      </c>
      <c r="N65" s="79"/>
      <c r="O65" s="79"/>
      <c r="P65" s="83">
        <f t="shared" si="27"/>
        <v>0</v>
      </c>
      <c r="Q65" s="82">
        <f t="shared" si="28"/>
        <v>0</v>
      </c>
      <c r="R65" s="82">
        <f t="shared" si="29"/>
        <v>0</v>
      </c>
      <c r="S65" s="84">
        <f t="shared" si="30"/>
        <v>0</v>
      </c>
    </row>
    <row r="66" spans="1:19" s="39" customFormat="1" ht="13.5" thickBot="1">
      <c r="A66" s="85"/>
      <c r="B66" s="86"/>
      <c r="C66" s="86"/>
      <c r="D66" s="86" t="s">
        <v>53</v>
      </c>
      <c r="E66" s="86"/>
      <c r="F66" s="87">
        <f>SUM(F56:F65)</f>
        <v>8999</v>
      </c>
      <c r="G66" s="86"/>
      <c r="H66" s="86"/>
      <c r="I66" s="86"/>
      <c r="J66" s="86"/>
      <c r="K66" s="88"/>
      <c r="L66" s="86"/>
      <c r="M66" s="89">
        <f>SUM(M56:M65)</f>
        <v>152</v>
      </c>
      <c r="N66" s="89">
        <f>SUM(N56:N65)</f>
        <v>19</v>
      </c>
      <c r="O66" s="89">
        <f>SUM(O56:O65)</f>
        <v>8</v>
      </c>
      <c r="P66" s="86"/>
      <c r="Q66" s="87">
        <f>SUM(Q56:Q65)</f>
        <v>7250.4</v>
      </c>
      <c r="R66" s="87">
        <f>SUM(R56:R65)</f>
        <v>1087.56</v>
      </c>
      <c r="S66" s="87">
        <f>SUM(S56:S65)</f>
        <v>8337.96</v>
      </c>
    </row>
    <row r="67" spans="1:19" s="39" customFormat="1" ht="12.75">
      <c r="A67" s="118"/>
      <c r="B67" s="92"/>
      <c r="C67" s="92"/>
      <c r="D67" s="92"/>
      <c r="E67" s="92"/>
      <c r="F67" s="93"/>
      <c r="G67" s="92"/>
      <c r="H67" s="92"/>
      <c r="I67" s="92"/>
      <c r="J67" s="92"/>
      <c r="K67" s="94"/>
      <c r="L67" s="92"/>
      <c r="M67" s="95"/>
      <c r="N67" s="95">
        <f>доходы!C16</f>
        <v>19</v>
      </c>
      <c r="O67" s="96" t="s">
        <v>116</v>
      </c>
      <c r="P67" s="92"/>
      <c r="Q67" s="97"/>
      <c r="R67" s="98"/>
      <c r="S67" s="122"/>
    </row>
    <row r="68" spans="1:19" s="39" customFormat="1" ht="12.75">
      <c r="A68" s="53" t="s">
        <v>101</v>
      </c>
      <c r="B68" s="41" t="str">
        <f>доходы!B17</f>
        <v>Мультстудия</v>
      </c>
      <c r="F68" s="40"/>
      <c r="G68" s="40"/>
      <c r="H68" s="40"/>
      <c r="I68" s="40"/>
      <c r="J68" s="40"/>
      <c r="K68" s="50"/>
      <c r="L68" s="40"/>
      <c r="M68" s="40"/>
      <c r="N68" s="40"/>
      <c r="O68" s="40"/>
      <c r="P68" s="40"/>
      <c r="Q68" s="40"/>
      <c r="R68" s="40"/>
      <c r="S68" s="40"/>
    </row>
    <row r="69" spans="1:19" s="39" customFormat="1" ht="13.5" thickBo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50"/>
      <c r="L69" s="40"/>
      <c r="M69" s="40"/>
      <c r="N69" s="40"/>
      <c r="O69" s="40"/>
      <c r="P69" s="40"/>
      <c r="Q69" s="40"/>
      <c r="R69" s="40"/>
      <c r="S69" s="40"/>
    </row>
    <row r="70" spans="1:19" s="39" customFormat="1" ht="51.75" thickBot="1">
      <c r="A70" s="99" t="s">
        <v>1</v>
      </c>
      <c r="B70" s="99" t="s">
        <v>2</v>
      </c>
      <c r="C70" s="99" t="s">
        <v>8</v>
      </c>
      <c r="D70" s="99" t="s">
        <v>3</v>
      </c>
      <c r="E70" s="54" t="s">
        <v>214</v>
      </c>
      <c r="F70" s="54" t="s">
        <v>215</v>
      </c>
      <c r="G70" s="54" t="s">
        <v>216</v>
      </c>
      <c r="H70" s="54" t="s">
        <v>117</v>
      </c>
      <c r="I70" s="54" t="s">
        <v>99</v>
      </c>
      <c r="J70" s="54" t="s">
        <v>213</v>
      </c>
      <c r="K70" s="55" t="s">
        <v>66</v>
      </c>
      <c r="L70" s="54" t="s">
        <v>67</v>
      </c>
      <c r="M70" s="99" t="s">
        <v>6</v>
      </c>
      <c r="N70" s="99" t="s">
        <v>54</v>
      </c>
      <c r="O70" s="99" t="s">
        <v>7</v>
      </c>
      <c r="P70" s="99" t="s">
        <v>48</v>
      </c>
      <c r="Q70" s="99" t="s">
        <v>49</v>
      </c>
      <c r="R70" s="99" t="s">
        <v>50</v>
      </c>
      <c r="S70" s="99" t="s">
        <v>51</v>
      </c>
    </row>
    <row r="71" spans="1:19" s="39" customFormat="1" ht="13.5" thickBot="1">
      <c r="A71" s="101">
        <v>1</v>
      </c>
      <c r="B71" s="102">
        <v>2</v>
      </c>
      <c r="C71" s="103">
        <v>3</v>
      </c>
      <c r="D71" s="102">
        <v>4</v>
      </c>
      <c r="E71" s="57">
        <v>5</v>
      </c>
      <c r="F71" s="57">
        <v>6</v>
      </c>
      <c r="G71" s="57">
        <v>7</v>
      </c>
      <c r="H71" s="57">
        <v>8</v>
      </c>
      <c r="I71" s="57">
        <v>9</v>
      </c>
      <c r="J71" s="57">
        <v>10</v>
      </c>
      <c r="K71" s="58">
        <v>11</v>
      </c>
      <c r="L71" s="57">
        <v>12</v>
      </c>
      <c r="M71" s="57">
        <v>13</v>
      </c>
      <c r="N71" s="57">
        <v>14</v>
      </c>
      <c r="O71" s="57">
        <v>15</v>
      </c>
      <c r="P71" s="57">
        <v>16</v>
      </c>
      <c r="Q71" s="57">
        <v>17</v>
      </c>
      <c r="R71" s="57">
        <v>18</v>
      </c>
      <c r="S71" s="59">
        <v>19</v>
      </c>
    </row>
    <row r="72" spans="1:19" s="112" customFormat="1" ht="36" customHeight="1" thickTop="1">
      <c r="A72" s="106">
        <v>1</v>
      </c>
      <c r="B72" s="107" t="s">
        <v>233</v>
      </c>
      <c r="C72" s="62" t="s">
        <v>180</v>
      </c>
      <c r="D72" s="108" t="str">
        <f>B$68</f>
        <v>Мультстудия</v>
      </c>
      <c r="E72" s="63">
        <f>ROUND(O72/18/4,2)</f>
        <v>0.11</v>
      </c>
      <c r="F72" s="63">
        <v>8999</v>
      </c>
      <c r="G72" s="110">
        <f>E72*F72</f>
        <v>989.89</v>
      </c>
      <c r="H72" s="64">
        <v>0</v>
      </c>
      <c r="I72" s="64">
        <v>0</v>
      </c>
      <c r="J72" s="372">
        <f>K72/G72</f>
        <v>2.604</v>
      </c>
      <c r="K72" s="65">
        <f>N72*O72*P72</f>
        <v>2577.6</v>
      </c>
      <c r="L72" s="63">
        <f>18*25*4</f>
        <v>1800</v>
      </c>
      <c r="M72" s="106">
        <f>N72*O72</f>
        <v>72</v>
      </c>
      <c r="N72" s="106">
        <v>9</v>
      </c>
      <c r="O72" s="63">
        <v>8</v>
      </c>
      <c r="P72" s="111">
        <v>35.8</v>
      </c>
      <c r="Q72" s="110">
        <f>N72*O72*P72</f>
        <v>2577.6</v>
      </c>
      <c r="R72" s="110">
        <f>Q72*0.15</f>
        <v>386.64</v>
      </c>
      <c r="S72" s="110">
        <f>Q72+R72</f>
        <v>2964.24</v>
      </c>
    </row>
    <row r="73" spans="1:19" s="39" customFormat="1" ht="12.75" hidden="1">
      <c r="A73" s="71">
        <v>2</v>
      </c>
      <c r="B73" s="70"/>
      <c r="C73" s="71" t="s">
        <v>52</v>
      </c>
      <c r="D73" s="72" t="str">
        <f aca="true" t="shared" si="32" ref="D73:D81">B$68</f>
        <v>Мультстудия</v>
      </c>
      <c r="E73" s="71"/>
      <c r="F73" s="71">
        <f aca="true" t="shared" si="33" ref="F73:F81">ROUND(O73/18/4,2)</f>
        <v>0</v>
      </c>
      <c r="G73" s="71">
        <v>7570</v>
      </c>
      <c r="H73" s="73">
        <f>H$24</f>
        <v>0</v>
      </c>
      <c r="I73" s="73">
        <v>0</v>
      </c>
      <c r="J73" s="71"/>
      <c r="K73" s="74">
        <f aca="true" t="shared" si="34" ref="K73:K81">(G73+G73*(H73+I73))*J73</f>
        <v>0</v>
      </c>
      <c r="L73" s="71">
        <f aca="true" t="shared" si="35" ref="L73:L81">18*25*4</f>
        <v>1800</v>
      </c>
      <c r="M73" s="71">
        <f aca="true" t="shared" si="36" ref="M73:M81">N73*O73</f>
        <v>0</v>
      </c>
      <c r="N73" s="71"/>
      <c r="O73" s="71"/>
      <c r="P73" s="75">
        <f aca="true" t="shared" si="37" ref="P73:P81">ROUND(K73/L73,2)</f>
        <v>0</v>
      </c>
      <c r="Q73" s="74">
        <f aca="true" t="shared" si="38" ref="Q73:Q81">N73*O73*P73</f>
        <v>0</v>
      </c>
      <c r="R73" s="74">
        <f aca="true" t="shared" si="39" ref="R73:R81">Q73*0.15</f>
        <v>0</v>
      </c>
      <c r="S73" s="74">
        <f aca="true" t="shared" si="40" ref="S73:S81">Q73+R73</f>
        <v>0</v>
      </c>
    </row>
    <row r="74" spans="1:19" s="39" customFormat="1" ht="12.75" hidden="1">
      <c r="A74" s="71">
        <v>3</v>
      </c>
      <c r="B74" s="70"/>
      <c r="C74" s="71" t="s">
        <v>52</v>
      </c>
      <c r="D74" s="72" t="str">
        <f t="shared" si="32"/>
        <v>Мультстудия</v>
      </c>
      <c r="E74" s="71"/>
      <c r="F74" s="71">
        <f t="shared" si="33"/>
        <v>0</v>
      </c>
      <c r="G74" s="71">
        <v>7570</v>
      </c>
      <c r="H74" s="73">
        <f aca="true" t="shared" si="41" ref="H74:H81">H$24</f>
        <v>0</v>
      </c>
      <c r="I74" s="73"/>
      <c r="J74" s="71"/>
      <c r="K74" s="74">
        <f t="shared" si="34"/>
        <v>0</v>
      </c>
      <c r="L74" s="71">
        <f t="shared" si="35"/>
        <v>1800</v>
      </c>
      <c r="M74" s="71">
        <f t="shared" si="36"/>
        <v>0</v>
      </c>
      <c r="N74" s="71"/>
      <c r="O74" s="71"/>
      <c r="P74" s="75">
        <f t="shared" si="37"/>
        <v>0</v>
      </c>
      <c r="Q74" s="74">
        <f t="shared" si="38"/>
        <v>0</v>
      </c>
      <c r="R74" s="74">
        <f t="shared" si="39"/>
        <v>0</v>
      </c>
      <c r="S74" s="74">
        <f t="shared" si="40"/>
        <v>0</v>
      </c>
    </row>
    <row r="75" spans="1:19" s="39" customFormat="1" ht="12.75" hidden="1">
      <c r="A75" s="71">
        <v>4</v>
      </c>
      <c r="B75" s="70"/>
      <c r="C75" s="71" t="s">
        <v>52</v>
      </c>
      <c r="D75" s="72" t="str">
        <f t="shared" si="32"/>
        <v>Мультстудия</v>
      </c>
      <c r="E75" s="71"/>
      <c r="F75" s="71">
        <f t="shared" si="33"/>
        <v>0</v>
      </c>
      <c r="G75" s="71">
        <v>7570</v>
      </c>
      <c r="H75" s="73">
        <f t="shared" si="41"/>
        <v>0</v>
      </c>
      <c r="I75" s="73"/>
      <c r="J75" s="71"/>
      <c r="K75" s="74">
        <f t="shared" si="34"/>
        <v>0</v>
      </c>
      <c r="L75" s="71">
        <f t="shared" si="35"/>
        <v>1800</v>
      </c>
      <c r="M75" s="71">
        <f t="shared" si="36"/>
        <v>0</v>
      </c>
      <c r="N75" s="71"/>
      <c r="O75" s="71"/>
      <c r="P75" s="75">
        <f t="shared" si="37"/>
        <v>0</v>
      </c>
      <c r="Q75" s="74">
        <f t="shared" si="38"/>
        <v>0</v>
      </c>
      <c r="R75" s="74">
        <f t="shared" si="39"/>
        <v>0</v>
      </c>
      <c r="S75" s="74">
        <f t="shared" si="40"/>
        <v>0</v>
      </c>
    </row>
    <row r="76" spans="1:19" s="39" customFormat="1" ht="12.75" hidden="1">
      <c r="A76" s="71">
        <v>5</v>
      </c>
      <c r="B76" s="70"/>
      <c r="C76" s="71" t="s">
        <v>52</v>
      </c>
      <c r="D76" s="72" t="str">
        <f t="shared" si="32"/>
        <v>Мультстудия</v>
      </c>
      <c r="E76" s="71"/>
      <c r="F76" s="71">
        <f t="shared" si="33"/>
        <v>0</v>
      </c>
      <c r="G76" s="71">
        <v>7570</v>
      </c>
      <c r="H76" s="73">
        <f t="shared" si="41"/>
        <v>0</v>
      </c>
      <c r="I76" s="73"/>
      <c r="J76" s="71"/>
      <c r="K76" s="74">
        <f t="shared" si="34"/>
        <v>0</v>
      </c>
      <c r="L76" s="71">
        <f t="shared" si="35"/>
        <v>1800</v>
      </c>
      <c r="M76" s="71">
        <f t="shared" si="36"/>
        <v>0</v>
      </c>
      <c r="N76" s="71"/>
      <c r="O76" s="71"/>
      <c r="P76" s="75">
        <f t="shared" si="37"/>
        <v>0</v>
      </c>
      <c r="Q76" s="74">
        <f t="shared" si="38"/>
        <v>0</v>
      </c>
      <c r="R76" s="74">
        <f t="shared" si="39"/>
        <v>0</v>
      </c>
      <c r="S76" s="74">
        <f t="shared" si="40"/>
        <v>0</v>
      </c>
    </row>
    <row r="77" spans="1:19" s="39" customFormat="1" ht="12.75" hidden="1">
      <c r="A77" s="71">
        <v>6</v>
      </c>
      <c r="B77" s="70"/>
      <c r="C77" s="71" t="s">
        <v>52</v>
      </c>
      <c r="D77" s="72" t="str">
        <f t="shared" si="32"/>
        <v>Мультстудия</v>
      </c>
      <c r="E77" s="71"/>
      <c r="F77" s="71">
        <f t="shared" si="33"/>
        <v>0</v>
      </c>
      <c r="G77" s="71">
        <v>7570</v>
      </c>
      <c r="H77" s="73">
        <f t="shared" si="41"/>
        <v>0</v>
      </c>
      <c r="I77" s="73"/>
      <c r="J77" s="71"/>
      <c r="K77" s="74">
        <f t="shared" si="34"/>
        <v>0</v>
      </c>
      <c r="L77" s="71">
        <f t="shared" si="35"/>
        <v>1800</v>
      </c>
      <c r="M77" s="71">
        <f t="shared" si="36"/>
        <v>0</v>
      </c>
      <c r="N77" s="71"/>
      <c r="O77" s="71"/>
      <c r="P77" s="75">
        <f t="shared" si="37"/>
        <v>0</v>
      </c>
      <c r="Q77" s="74">
        <f t="shared" si="38"/>
        <v>0</v>
      </c>
      <c r="R77" s="74">
        <f t="shared" si="39"/>
        <v>0</v>
      </c>
      <c r="S77" s="74">
        <f t="shared" si="40"/>
        <v>0</v>
      </c>
    </row>
    <row r="78" spans="1:19" s="39" customFormat="1" ht="12.75" hidden="1">
      <c r="A78" s="71">
        <v>7</v>
      </c>
      <c r="B78" s="70"/>
      <c r="C78" s="71" t="s">
        <v>52</v>
      </c>
      <c r="D78" s="72" t="str">
        <f t="shared" si="32"/>
        <v>Мультстудия</v>
      </c>
      <c r="E78" s="71"/>
      <c r="F78" s="71">
        <f t="shared" si="33"/>
        <v>0</v>
      </c>
      <c r="G78" s="71">
        <v>7570</v>
      </c>
      <c r="H78" s="73">
        <f t="shared" si="41"/>
        <v>0</v>
      </c>
      <c r="I78" s="73"/>
      <c r="J78" s="71"/>
      <c r="K78" s="74">
        <f t="shared" si="34"/>
        <v>0</v>
      </c>
      <c r="L78" s="71">
        <f t="shared" si="35"/>
        <v>1800</v>
      </c>
      <c r="M78" s="71">
        <f t="shared" si="36"/>
        <v>0</v>
      </c>
      <c r="N78" s="71"/>
      <c r="O78" s="71"/>
      <c r="P78" s="75">
        <f t="shared" si="37"/>
        <v>0</v>
      </c>
      <c r="Q78" s="74">
        <f t="shared" si="38"/>
        <v>0</v>
      </c>
      <c r="R78" s="74">
        <f t="shared" si="39"/>
        <v>0</v>
      </c>
      <c r="S78" s="74">
        <f t="shared" si="40"/>
        <v>0</v>
      </c>
    </row>
    <row r="79" spans="1:19" s="39" customFormat="1" ht="12.75" hidden="1">
      <c r="A79" s="71">
        <v>8</v>
      </c>
      <c r="B79" s="70"/>
      <c r="C79" s="71" t="s">
        <v>52</v>
      </c>
      <c r="D79" s="72" t="str">
        <f t="shared" si="32"/>
        <v>Мультстудия</v>
      </c>
      <c r="E79" s="71"/>
      <c r="F79" s="71">
        <f t="shared" si="33"/>
        <v>0</v>
      </c>
      <c r="G79" s="71">
        <v>7570</v>
      </c>
      <c r="H79" s="73">
        <f t="shared" si="41"/>
        <v>0</v>
      </c>
      <c r="I79" s="73"/>
      <c r="J79" s="71"/>
      <c r="K79" s="74">
        <f t="shared" si="34"/>
        <v>0</v>
      </c>
      <c r="L79" s="71">
        <f t="shared" si="35"/>
        <v>1800</v>
      </c>
      <c r="M79" s="71">
        <f t="shared" si="36"/>
        <v>0</v>
      </c>
      <c r="N79" s="71"/>
      <c r="O79" s="71"/>
      <c r="P79" s="75">
        <f t="shared" si="37"/>
        <v>0</v>
      </c>
      <c r="Q79" s="74">
        <f t="shared" si="38"/>
        <v>0</v>
      </c>
      <c r="R79" s="74">
        <f t="shared" si="39"/>
        <v>0</v>
      </c>
      <c r="S79" s="74">
        <f t="shared" si="40"/>
        <v>0</v>
      </c>
    </row>
    <row r="80" spans="1:19" s="39" customFormat="1" ht="12.75" hidden="1">
      <c r="A80" s="71">
        <v>9</v>
      </c>
      <c r="B80" s="70"/>
      <c r="C80" s="71" t="s">
        <v>52</v>
      </c>
      <c r="D80" s="72" t="str">
        <f t="shared" si="32"/>
        <v>Мультстудия</v>
      </c>
      <c r="E80" s="71"/>
      <c r="F80" s="71">
        <f t="shared" si="33"/>
        <v>0</v>
      </c>
      <c r="G80" s="71">
        <v>7570</v>
      </c>
      <c r="H80" s="73">
        <f t="shared" si="41"/>
        <v>0</v>
      </c>
      <c r="I80" s="73"/>
      <c r="J80" s="71"/>
      <c r="K80" s="74">
        <f t="shared" si="34"/>
        <v>0</v>
      </c>
      <c r="L80" s="71">
        <f t="shared" si="35"/>
        <v>1800</v>
      </c>
      <c r="M80" s="71">
        <f t="shared" si="36"/>
        <v>0</v>
      </c>
      <c r="N80" s="71"/>
      <c r="O80" s="71"/>
      <c r="P80" s="75">
        <f t="shared" si="37"/>
        <v>0</v>
      </c>
      <c r="Q80" s="74">
        <f t="shared" si="38"/>
        <v>0</v>
      </c>
      <c r="R80" s="74">
        <f t="shared" si="39"/>
        <v>0</v>
      </c>
      <c r="S80" s="74">
        <f t="shared" si="40"/>
        <v>0</v>
      </c>
    </row>
    <row r="81" spans="1:19" s="39" customFormat="1" ht="12.75" hidden="1">
      <c r="A81" s="71">
        <v>10</v>
      </c>
      <c r="B81" s="70"/>
      <c r="C81" s="71" t="s">
        <v>52</v>
      </c>
      <c r="D81" s="72" t="str">
        <f t="shared" si="32"/>
        <v>Мультстудия</v>
      </c>
      <c r="E81" s="71"/>
      <c r="F81" s="71">
        <f t="shared" si="33"/>
        <v>0</v>
      </c>
      <c r="G81" s="71">
        <v>7570</v>
      </c>
      <c r="H81" s="73">
        <f t="shared" si="41"/>
        <v>0</v>
      </c>
      <c r="I81" s="73"/>
      <c r="J81" s="71"/>
      <c r="K81" s="74">
        <f t="shared" si="34"/>
        <v>0</v>
      </c>
      <c r="L81" s="71">
        <f t="shared" si="35"/>
        <v>1800</v>
      </c>
      <c r="M81" s="71">
        <f t="shared" si="36"/>
        <v>0</v>
      </c>
      <c r="N81" s="71"/>
      <c r="O81" s="71"/>
      <c r="P81" s="75">
        <f t="shared" si="37"/>
        <v>0</v>
      </c>
      <c r="Q81" s="74">
        <f t="shared" si="38"/>
        <v>0</v>
      </c>
      <c r="R81" s="74">
        <f t="shared" si="39"/>
        <v>0</v>
      </c>
      <c r="S81" s="74">
        <f t="shared" si="40"/>
        <v>0</v>
      </c>
    </row>
    <row r="82" spans="1:19" s="39" customFormat="1" ht="13.5" thickBot="1">
      <c r="A82" s="113"/>
      <c r="B82" s="114"/>
      <c r="C82" s="114"/>
      <c r="D82" s="114" t="s">
        <v>53</v>
      </c>
      <c r="E82" s="114"/>
      <c r="F82" s="115">
        <f>SUM(F72:F81)</f>
        <v>8999</v>
      </c>
      <c r="G82" s="114"/>
      <c r="H82" s="114"/>
      <c r="I82" s="114"/>
      <c r="J82" s="114"/>
      <c r="K82" s="116"/>
      <c r="L82" s="114"/>
      <c r="M82" s="117">
        <f>SUM(M72:M81)</f>
        <v>72</v>
      </c>
      <c r="N82" s="117">
        <f>SUM(N72:N81)</f>
        <v>9</v>
      </c>
      <c r="O82" s="117">
        <f>SUM(O72:O81)</f>
        <v>8</v>
      </c>
      <c r="P82" s="114"/>
      <c r="Q82" s="115">
        <f>SUM(Q72:Q81)</f>
        <v>2577.6</v>
      </c>
      <c r="R82" s="115">
        <f>SUM(R72:R81)</f>
        <v>386.64</v>
      </c>
      <c r="S82" s="115">
        <f>SUM(S72:S81)</f>
        <v>2964.24</v>
      </c>
    </row>
    <row r="83" spans="1:19" s="39" customFormat="1" ht="12.75">
      <c r="A83" s="118"/>
      <c r="B83" s="92"/>
      <c r="C83" s="92"/>
      <c r="D83" s="92"/>
      <c r="E83" s="92"/>
      <c r="F83" s="93"/>
      <c r="G83" s="92"/>
      <c r="H83" s="92"/>
      <c r="I83" s="92"/>
      <c r="J83" s="92"/>
      <c r="K83" s="94"/>
      <c r="L83" s="92"/>
      <c r="M83" s="95"/>
      <c r="N83" s="95">
        <f>доходы!C18</f>
        <v>9</v>
      </c>
      <c r="O83" s="96" t="s">
        <v>116</v>
      </c>
      <c r="P83" s="119"/>
      <c r="Q83" s="120"/>
      <c r="R83" s="121"/>
      <c r="S83" s="121"/>
    </row>
    <row r="84" spans="1:19" s="39" customFormat="1" ht="13.5" thickBot="1">
      <c r="A84" s="92">
        <v>5</v>
      </c>
      <c r="B84" s="92" t="str">
        <f>доходы!B19</f>
        <v>Танцевальная студия - 2</v>
      </c>
      <c r="C84" s="92"/>
      <c r="D84" s="92"/>
      <c r="E84" s="92"/>
      <c r="F84" s="93"/>
      <c r="G84" s="92"/>
      <c r="H84" s="92"/>
      <c r="I84" s="92"/>
      <c r="J84" s="92"/>
      <c r="K84" s="94"/>
      <c r="L84" s="92"/>
      <c r="M84" s="95"/>
      <c r="N84" s="95"/>
      <c r="O84" s="96"/>
      <c r="P84" s="92"/>
      <c r="Q84" s="93"/>
      <c r="R84" s="94"/>
      <c r="S84" s="94"/>
    </row>
    <row r="85" spans="1:19" s="407" customFormat="1" ht="51.75" thickBot="1">
      <c r="A85" s="405" t="s">
        <v>1</v>
      </c>
      <c r="B85" s="405" t="s">
        <v>2</v>
      </c>
      <c r="C85" s="405" t="s">
        <v>8</v>
      </c>
      <c r="D85" s="405" t="s">
        <v>3</v>
      </c>
      <c r="E85" s="405" t="s">
        <v>214</v>
      </c>
      <c r="F85" s="405" t="s">
        <v>215</v>
      </c>
      <c r="G85" s="405" t="s">
        <v>216</v>
      </c>
      <c r="H85" s="405" t="s">
        <v>117</v>
      </c>
      <c r="I85" s="405" t="s">
        <v>99</v>
      </c>
      <c r="J85" s="405" t="s">
        <v>213</v>
      </c>
      <c r="K85" s="406" t="s">
        <v>66</v>
      </c>
      <c r="L85" s="405" t="s">
        <v>67</v>
      </c>
      <c r="M85" s="405" t="s">
        <v>6</v>
      </c>
      <c r="N85" s="405" t="s">
        <v>54</v>
      </c>
      <c r="O85" s="405" t="s">
        <v>7</v>
      </c>
      <c r="P85" s="405" t="s">
        <v>48</v>
      </c>
      <c r="Q85" s="405" t="s">
        <v>49</v>
      </c>
      <c r="R85" s="405" t="s">
        <v>50</v>
      </c>
      <c r="S85" s="405" t="s">
        <v>51</v>
      </c>
    </row>
    <row r="86" spans="1:19" s="407" customFormat="1" ht="13.5" thickBot="1">
      <c r="A86" s="408">
        <v>1</v>
      </c>
      <c r="B86" s="409">
        <v>2</v>
      </c>
      <c r="C86" s="409">
        <v>3</v>
      </c>
      <c r="D86" s="409">
        <v>4</v>
      </c>
      <c r="E86" s="409">
        <v>5</v>
      </c>
      <c r="F86" s="409">
        <v>6</v>
      </c>
      <c r="G86" s="409">
        <v>7</v>
      </c>
      <c r="H86" s="409">
        <v>8</v>
      </c>
      <c r="I86" s="409">
        <v>9</v>
      </c>
      <c r="J86" s="409">
        <v>10</v>
      </c>
      <c r="K86" s="410">
        <v>11</v>
      </c>
      <c r="L86" s="409">
        <v>12</v>
      </c>
      <c r="M86" s="409">
        <v>13</v>
      </c>
      <c r="N86" s="409">
        <v>14</v>
      </c>
      <c r="O86" s="409">
        <v>15</v>
      </c>
      <c r="P86" s="409">
        <v>16</v>
      </c>
      <c r="Q86" s="409">
        <v>17</v>
      </c>
      <c r="R86" s="409">
        <v>18</v>
      </c>
      <c r="S86" s="411">
        <v>19</v>
      </c>
    </row>
    <row r="87" spans="1:19" s="422" customFormat="1" ht="39.75" thickBot="1" thickTop="1">
      <c r="A87" s="412">
        <v>1</v>
      </c>
      <c r="B87" s="413" t="s">
        <v>246</v>
      </c>
      <c r="C87" s="414" t="s">
        <v>180</v>
      </c>
      <c r="D87" s="413" t="str">
        <f>B84</f>
        <v>Танцевальная студия - 2</v>
      </c>
      <c r="E87" s="415">
        <f>ROUND(O87/18/4,2)</f>
        <v>0.06</v>
      </c>
      <c r="F87" s="415">
        <v>8999</v>
      </c>
      <c r="G87" s="416">
        <f>E87*F87</f>
        <v>539.94</v>
      </c>
      <c r="H87" s="417">
        <v>0</v>
      </c>
      <c r="I87" s="417">
        <v>0</v>
      </c>
      <c r="J87" s="418">
        <f>K87/G87</f>
        <v>3.534</v>
      </c>
      <c r="K87" s="419">
        <f>N87*O87*P87</f>
        <v>1908.16</v>
      </c>
      <c r="L87" s="415">
        <f>18*25*4</f>
        <v>1800</v>
      </c>
      <c r="M87" s="415">
        <f>N87*O87</f>
        <v>32</v>
      </c>
      <c r="N87" s="415">
        <v>8</v>
      </c>
      <c r="O87" s="415">
        <v>4</v>
      </c>
      <c r="P87" s="420">
        <v>59.63</v>
      </c>
      <c r="Q87" s="419">
        <f>N87*O87*P87</f>
        <v>1908.16</v>
      </c>
      <c r="R87" s="419">
        <f>Q87*0.15</f>
        <v>286.22</v>
      </c>
      <c r="S87" s="421">
        <f>Q87+R87</f>
        <v>2194.38</v>
      </c>
    </row>
    <row r="88" spans="1:19" s="407" customFormat="1" ht="13.5" thickBot="1">
      <c r="A88" s="423"/>
      <c r="B88" s="424"/>
      <c r="C88" s="424"/>
      <c r="D88" s="424" t="s">
        <v>53</v>
      </c>
      <c r="E88" s="424"/>
      <c r="F88" s="425">
        <f>SUM(F87)</f>
        <v>8999</v>
      </c>
      <c r="G88" s="424"/>
      <c r="H88" s="424"/>
      <c r="I88" s="424"/>
      <c r="J88" s="424"/>
      <c r="K88" s="426"/>
      <c r="L88" s="424"/>
      <c r="M88" s="427">
        <f aca="true" t="shared" si="42" ref="M88:S88">SUM(M87)</f>
        <v>32</v>
      </c>
      <c r="N88" s="427">
        <f t="shared" si="42"/>
        <v>8</v>
      </c>
      <c r="O88" s="427">
        <f t="shared" si="42"/>
        <v>4</v>
      </c>
      <c r="P88" s="427"/>
      <c r="Q88" s="426">
        <f t="shared" si="42"/>
        <v>1908.16</v>
      </c>
      <c r="R88" s="426">
        <f t="shared" si="42"/>
        <v>286.22</v>
      </c>
      <c r="S88" s="426">
        <f t="shared" si="42"/>
        <v>2194.38</v>
      </c>
    </row>
    <row r="89" spans="1:21" s="407" customFormat="1" ht="12.75">
      <c r="A89" s="92"/>
      <c r="B89" s="92"/>
      <c r="C89" s="92"/>
      <c r="D89" s="92"/>
      <c r="E89" s="92"/>
      <c r="F89" s="93"/>
      <c r="G89" s="92"/>
      <c r="H89" s="92"/>
      <c r="I89" s="92"/>
      <c r="J89" s="92"/>
      <c r="K89" s="94"/>
      <c r="L89" s="92"/>
      <c r="M89" s="95"/>
      <c r="N89" s="95">
        <f>доходы!C19</f>
        <v>8</v>
      </c>
      <c r="O89" s="95" t="s">
        <v>116</v>
      </c>
      <c r="P89" s="92"/>
      <c r="Q89" s="93"/>
      <c r="R89" s="93"/>
      <c r="S89" s="93"/>
      <c r="T89" s="39"/>
      <c r="U89" s="39"/>
    </row>
    <row r="90" spans="1:25" s="407" customFormat="1" ht="13.5" thickBot="1">
      <c r="A90" s="92">
        <v>6</v>
      </c>
      <c r="B90" s="481" t="str">
        <f>доходы!B20</f>
        <v>Творческая студия "Акварелька"-1</v>
      </c>
      <c r="C90" s="92"/>
      <c r="D90" s="92"/>
      <c r="E90" s="92"/>
      <c r="F90" s="93"/>
      <c r="G90" s="92"/>
      <c r="H90" s="92"/>
      <c r="I90" s="92"/>
      <c r="J90" s="92"/>
      <c r="K90" s="94"/>
      <c r="L90" s="92"/>
      <c r="M90" s="95"/>
      <c r="N90" s="95"/>
      <c r="O90" s="95"/>
      <c r="P90" s="92"/>
      <c r="Q90" s="93"/>
      <c r="R90" s="93"/>
      <c r="S90" s="93"/>
      <c r="T90" s="39"/>
      <c r="U90" s="39"/>
      <c r="V90" s="39"/>
      <c r="W90" s="39"/>
      <c r="X90" s="39"/>
      <c r="Y90" s="39"/>
    </row>
    <row r="91" spans="1:19" s="407" customFormat="1" ht="51.75" thickBot="1">
      <c r="A91" s="405" t="s">
        <v>1</v>
      </c>
      <c r="B91" s="405" t="s">
        <v>2</v>
      </c>
      <c r="C91" s="405" t="s">
        <v>8</v>
      </c>
      <c r="D91" s="405" t="s">
        <v>3</v>
      </c>
      <c r="E91" s="405" t="s">
        <v>214</v>
      </c>
      <c r="F91" s="405" t="s">
        <v>215</v>
      </c>
      <c r="G91" s="405" t="s">
        <v>216</v>
      </c>
      <c r="H91" s="405" t="s">
        <v>117</v>
      </c>
      <c r="I91" s="405" t="s">
        <v>99</v>
      </c>
      <c r="J91" s="405" t="s">
        <v>213</v>
      </c>
      <c r="K91" s="406" t="s">
        <v>66</v>
      </c>
      <c r="L91" s="405" t="s">
        <v>67</v>
      </c>
      <c r="M91" s="405" t="s">
        <v>6</v>
      </c>
      <c r="N91" s="405" t="s">
        <v>54</v>
      </c>
      <c r="O91" s="405" t="s">
        <v>7</v>
      </c>
      <c r="P91" s="405" t="s">
        <v>48</v>
      </c>
      <c r="Q91" s="405" t="s">
        <v>49</v>
      </c>
      <c r="R91" s="405" t="s">
        <v>50</v>
      </c>
      <c r="S91" s="405" t="s">
        <v>51</v>
      </c>
    </row>
    <row r="92" spans="1:19" s="407" customFormat="1" ht="13.5" thickBot="1">
      <c r="A92" s="408">
        <v>1</v>
      </c>
      <c r="B92" s="409">
        <v>2</v>
      </c>
      <c r="C92" s="409">
        <v>3</v>
      </c>
      <c r="D92" s="409">
        <v>4</v>
      </c>
      <c r="E92" s="409">
        <v>5</v>
      </c>
      <c r="F92" s="409">
        <v>6</v>
      </c>
      <c r="G92" s="409">
        <v>7</v>
      </c>
      <c r="H92" s="409">
        <v>8</v>
      </c>
      <c r="I92" s="409">
        <v>9</v>
      </c>
      <c r="J92" s="409">
        <v>10</v>
      </c>
      <c r="K92" s="410">
        <v>11</v>
      </c>
      <c r="L92" s="409">
        <v>12</v>
      </c>
      <c r="M92" s="409">
        <v>13</v>
      </c>
      <c r="N92" s="409">
        <v>14</v>
      </c>
      <c r="O92" s="409">
        <v>15</v>
      </c>
      <c r="P92" s="409">
        <v>16</v>
      </c>
      <c r="Q92" s="409">
        <v>17</v>
      </c>
      <c r="R92" s="409">
        <v>18</v>
      </c>
      <c r="S92" s="411">
        <v>19</v>
      </c>
    </row>
    <row r="93" spans="1:19" s="422" customFormat="1" ht="39.75" thickBot="1" thickTop="1">
      <c r="A93" s="412">
        <v>1</v>
      </c>
      <c r="B93" s="413" t="s">
        <v>246</v>
      </c>
      <c r="C93" s="414" t="s">
        <v>180</v>
      </c>
      <c r="D93" s="413" t="str">
        <f>B90</f>
        <v>Творческая студия "Акварелька"-1</v>
      </c>
      <c r="E93" s="415">
        <f>ROUND(O93/18/4,2)</f>
        <v>0.06</v>
      </c>
      <c r="F93" s="415">
        <v>8999</v>
      </c>
      <c r="G93" s="416">
        <f>E93*F93</f>
        <v>539.94</v>
      </c>
      <c r="H93" s="417">
        <v>0</v>
      </c>
      <c r="I93" s="417">
        <v>0</v>
      </c>
      <c r="J93" s="418">
        <f>K93/G93</f>
        <v>4.24</v>
      </c>
      <c r="K93" s="419">
        <f>N93*O93*P93</f>
        <v>2289.6</v>
      </c>
      <c r="L93" s="415">
        <f>18*25*4</f>
        <v>1800</v>
      </c>
      <c r="M93" s="415">
        <f>N93*O93</f>
        <v>48</v>
      </c>
      <c r="N93" s="415">
        <v>12</v>
      </c>
      <c r="O93" s="415">
        <v>4</v>
      </c>
      <c r="P93" s="420">
        <v>47.7</v>
      </c>
      <c r="Q93" s="419">
        <f>N93*O93*P93</f>
        <v>2289.6</v>
      </c>
      <c r="R93" s="419">
        <f>Q93*0.15</f>
        <v>343.44</v>
      </c>
      <c r="S93" s="421">
        <f>Q93+R93</f>
        <v>2633.04</v>
      </c>
    </row>
    <row r="94" spans="1:19" s="407" customFormat="1" ht="13.5" thickBot="1">
      <c r="A94" s="423"/>
      <c r="B94" s="424"/>
      <c r="C94" s="424"/>
      <c r="D94" s="424" t="s">
        <v>53</v>
      </c>
      <c r="E94" s="424"/>
      <c r="F94" s="425">
        <f>SUM(F93)</f>
        <v>8999</v>
      </c>
      <c r="G94" s="424"/>
      <c r="H94" s="424"/>
      <c r="I94" s="424"/>
      <c r="J94" s="424"/>
      <c r="K94" s="426"/>
      <c r="L94" s="424"/>
      <c r="M94" s="427">
        <f>SUM(M93)</f>
        <v>48</v>
      </c>
      <c r="N94" s="427">
        <f aca="true" t="shared" si="43" ref="N94:S94">SUM(N93)</f>
        <v>12</v>
      </c>
      <c r="O94" s="427">
        <f t="shared" si="43"/>
        <v>4</v>
      </c>
      <c r="P94" s="427">
        <f t="shared" si="43"/>
        <v>48</v>
      </c>
      <c r="Q94" s="426">
        <f t="shared" si="43"/>
        <v>2289.6</v>
      </c>
      <c r="R94" s="426">
        <f t="shared" si="43"/>
        <v>343.44</v>
      </c>
      <c r="S94" s="426">
        <f t="shared" si="43"/>
        <v>2633.04</v>
      </c>
    </row>
    <row r="95" spans="1:21" s="422" customFormat="1" ht="12.75">
      <c r="A95" s="434"/>
      <c r="B95" s="435"/>
      <c r="C95" s="436"/>
      <c r="D95" s="435"/>
      <c r="E95" s="437"/>
      <c r="F95" s="437"/>
      <c r="G95" s="438"/>
      <c r="H95" s="439"/>
      <c r="I95" s="439"/>
      <c r="J95" s="440"/>
      <c r="K95" s="438"/>
      <c r="L95" s="437"/>
      <c r="M95" s="437"/>
      <c r="N95" s="437">
        <f>доходы!C20</f>
        <v>12</v>
      </c>
      <c r="O95" s="95" t="s">
        <v>116</v>
      </c>
      <c r="P95" s="441"/>
      <c r="Q95" s="438"/>
      <c r="R95" s="438"/>
      <c r="S95" s="438"/>
      <c r="T95" s="112"/>
      <c r="U95" s="112"/>
    </row>
    <row r="96" spans="1:21" s="422" customFormat="1" ht="12.75">
      <c r="A96" s="434"/>
      <c r="B96" s="435"/>
      <c r="C96" s="436"/>
      <c r="D96" s="435"/>
      <c r="E96" s="437"/>
      <c r="F96" s="437"/>
      <c r="G96" s="438"/>
      <c r="H96" s="439"/>
      <c r="I96" s="439"/>
      <c r="J96" s="440"/>
      <c r="K96" s="438"/>
      <c r="L96" s="437"/>
      <c r="M96" s="437"/>
      <c r="N96" s="437"/>
      <c r="O96" s="437"/>
      <c r="P96" s="441"/>
      <c r="Q96" s="438"/>
      <c r="R96" s="438"/>
      <c r="S96" s="438"/>
      <c r="T96" s="112"/>
      <c r="U96" s="112"/>
    </row>
    <row r="97" spans="1:21" s="407" customFormat="1" ht="12.75">
      <c r="A97" s="118">
        <v>7</v>
      </c>
      <c r="B97" s="138" t="str">
        <f>доходы!B21</f>
        <v>Творческая студия "Акварелька"</v>
      </c>
      <c r="C97" s="92"/>
      <c r="D97" s="92"/>
      <c r="E97" s="92"/>
      <c r="F97" s="93"/>
      <c r="G97" s="92"/>
      <c r="H97" s="92"/>
      <c r="I97" s="92"/>
      <c r="J97" s="92"/>
      <c r="K97" s="94"/>
      <c r="L97" s="92"/>
      <c r="M97" s="95"/>
      <c r="N97" s="95"/>
      <c r="O97" s="95"/>
      <c r="P97" s="92"/>
      <c r="Q97" s="93"/>
      <c r="R97" s="93"/>
      <c r="S97" s="93"/>
      <c r="T97" s="39"/>
      <c r="U97" s="39"/>
    </row>
    <row r="98" spans="1:21" s="407" customFormat="1" ht="13.5" thickBot="1">
      <c r="A98" s="92"/>
      <c r="B98" s="92"/>
      <c r="C98" s="92"/>
      <c r="D98" s="92"/>
      <c r="E98" s="92"/>
      <c r="F98" s="93"/>
      <c r="G98" s="92"/>
      <c r="H98" s="92"/>
      <c r="I98" s="92"/>
      <c r="J98" s="92"/>
      <c r="K98" s="94"/>
      <c r="L98" s="92"/>
      <c r="M98" s="95"/>
      <c r="N98" s="95"/>
      <c r="O98" s="95"/>
      <c r="P98" s="92"/>
      <c r="Q98" s="93"/>
      <c r="R98" s="93"/>
      <c r="S98" s="93"/>
      <c r="T98" s="39"/>
      <c r="U98" s="39"/>
    </row>
    <row r="99" spans="1:19" s="407" customFormat="1" ht="51.75" thickBot="1">
      <c r="A99" s="405" t="s">
        <v>1</v>
      </c>
      <c r="B99" s="405" t="s">
        <v>2</v>
      </c>
      <c r="C99" s="405" t="s">
        <v>8</v>
      </c>
      <c r="D99" s="405" t="s">
        <v>3</v>
      </c>
      <c r="E99" s="405" t="s">
        <v>214</v>
      </c>
      <c r="F99" s="405" t="s">
        <v>215</v>
      </c>
      <c r="G99" s="405" t="s">
        <v>216</v>
      </c>
      <c r="H99" s="405" t="s">
        <v>117</v>
      </c>
      <c r="I99" s="405" t="s">
        <v>99</v>
      </c>
      <c r="J99" s="405" t="s">
        <v>213</v>
      </c>
      <c r="K99" s="406" t="s">
        <v>66</v>
      </c>
      <c r="L99" s="405" t="s">
        <v>67</v>
      </c>
      <c r="M99" s="405" t="s">
        <v>6</v>
      </c>
      <c r="N99" s="405" t="s">
        <v>54</v>
      </c>
      <c r="O99" s="405" t="s">
        <v>7</v>
      </c>
      <c r="P99" s="405" t="s">
        <v>48</v>
      </c>
      <c r="Q99" s="405" t="s">
        <v>49</v>
      </c>
      <c r="R99" s="405" t="s">
        <v>50</v>
      </c>
      <c r="S99" s="405" t="s">
        <v>51</v>
      </c>
    </row>
    <row r="100" spans="1:19" s="407" customFormat="1" ht="13.5" thickBot="1">
      <c r="A100" s="408">
        <v>1</v>
      </c>
      <c r="B100" s="409">
        <v>2</v>
      </c>
      <c r="C100" s="409">
        <v>3</v>
      </c>
      <c r="D100" s="409">
        <v>4</v>
      </c>
      <c r="E100" s="409">
        <v>5</v>
      </c>
      <c r="F100" s="409">
        <v>6</v>
      </c>
      <c r="G100" s="409">
        <v>7</v>
      </c>
      <c r="H100" s="409">
        <v>8</v>
      </c>
      <c r="I100" s="409">
        <v>9</v>
      </c>
      <c r="J100" s="409">
        <v>10</v>
      </c>
      <c r="K100" s="410">
        <v>11</v>
      </c>
      <c r="L100" s="409">
        <v>12</v>
      </c>
      <c r="M100" s="409">
        <v>13</v>
      </c>
      <c r="N100" s="409">
        <v>14</v>
      </c>
      <c r="O100" s="409">
        <v>15</v>
      </c>
      <c r="P100" s="409">
        <v>16</v>
      </c>
      <c r="Q100" s="409">
        <v>17</v>
      </c>
      <c r="R100" s="409">
        <v>18</v>
      </c>
      <c r="S100" s="411">
        <v>19</v>
      </c>
    </row>
    <row r="101" spans="1:19" s="422" customFormat="1" ht="39.75" thickBot="1" thickTop="1">
      <c r="A101" s="412">
        <v>1</v>
      </c>
      <c r="B101" s="413" t="s">
        <v>248</v>
      </c>
      <c r="C101" s="414" t="s">
        <v>180</v>
      </c>
      <c r="D101" s="413" t="str">
        <f>B97</f>
        <v>Творческая студия "Акварелька"</v>
      </c>
      <c r="E101" s="415">
        <f>ROUND(O101/18/4,2)</f>
        <v>0.06</v>
      </c>
      <c r="F101" s="415">
        <v>8999</v>
      </c>
      <c r="G101" s="416">
        <f>E101*F101</f>
        <v>539.94</v>
      </c>
      <c r="H101" s="417">
        <v>0</v>
      </c>
      <c r="I101" s="417">
        <v>0</v>
      </c>
      <c r="J101" s="418">
        <f>K101/G101</f>
        <v>9.283</v>
      </c>
      <c r="K101" s="419">
        <f>N101*O101*P101</f>
        <v>5012</v>
      </c>
      <c r="L101" s="415">
        <f>18*25*4</f>
        <v>1800</v>
      </c>
      <c r="M101" s="415">
        <f>N101*O101</f>
        <v>140</v>
      </c>
      <c r="N101" s="415">
        <v>35</v>
      </c>
      <c r="O101" s="415">
        <v>4</v>
      </c>
      <c r="P101" s="420">
        <v>35.8</v>
      </c>
      <c r="Q101" s="419">
        <f>N101*O101*P101</f>
        <v>5012</v>
      </c>
      <c r="R101" s="419">
        <f>Q101*0.15</f>
        <v>751.8</v>
      </c>
      <c r="S101" s="421">
        <f>Q101+R101</f>
        <v>5763.8</v>
      </c>
    </row>
    <row r="102" spans="1:19" s="407" customFormat="1" ht="13.5" thickBot="1">
      <c r="A102" s="423"/>
      <c r="B102" s="424"/>
      <c r="C102" s="424"/>
      <c r="D102" s="424" t="s">
        <v>53</v>
      </c>
      <c r="E102" s="424"/>
      <c r="F102" s="425">
        <f>SUM(F101)</f>
        <v>8999</v>
      </c>
      <c r="G102" s="424"/>
      <c r="H102" s="424"/>
      <c r="I102" s="424"/>
      <c r="J102" s="424"/>
      <c r="K102" s="426"/>
      <c r="L102" s="424"/>
      <c r="M102" s="427">
        <f>SUM(M88:M101)</f>
        <v>294</v>
      </c>
      <c r="N102" s="427">
        <f aca="true" t="shared" si="44" ref="N102:S102">SUM(N101)</f>
        <v>35</v>
      </c>
      <c r="O102" s="427">
        <f t="shared" si="44"/>
        <v>4</v>
      </c>
      <c r="P102" s="427">
        <f t="shared" si="44"/>
        <v>36</v>
      </c>
      <c r="Q102" s="426">
        <f t="shared" si="44"/>
        <v>5012</v>
      </c>
      <c r="R102" s="426">
        <f t="shared" si="44"/>
        <v>751.8</v>
      </c>
      <c r="S102" s="426">
        <f t="shared" si="44"/>
        <v>5763.8</v>
      </c>
    </row>
    <row r="103" spans="1:19" s="407" customFormat="1" ht="12.75">
      <c r="A103" s="429"/>
      <c r="B103" s="429"/>
      <c r="C103" s="429"/>
      <c r="D103" s="429"/>
      <c r="E103" s="429"/>
      <c r="F103" s="430"/>
      <c r="G103" s="429"/>
      <c r="H103" s="429"/>
      <c r="I103" s="429"/>
      <c r="J103" s="429"/>
      <c r="K103" s="431"/>
      <c r="L103" s="429"/>
      <c r="M103" s="432"/>
      <c r="N103" s="432">
        <f>доходы!C21</f>
        <v>35</v>
      </c>
      <c r="O103" s="95" t="s">
        <v>116</v>
      </c>
      <c r="P103" s="429"/>
      <c r="Q103" s="430"/>
      <c r="R103" s="430"/>
      <c r="S103" s="430"/>
    </row>
    <row r="104" spans="1:19" s="39" customFormat="1" ht="12.75">
      <c r="A104" s="92"/>
      <c r="B104" s="92"/>
      <c r="C104" s="92"/>
      <c r="D104" s="92"/>
      <c r="E104" s="92"/>
      <c r="F104" s="93"/>
      <c r="G104" s="92"/>
      <c r="H104" s="92"/>
      <c r="I104" s="92"/>
      <c r="J104" s="92"/>
      <c r="K104" s="94"/>
      <c r="L104" s="92"/>
      <c r="M104" s="95"/>
      <c r="N104" s="95"/>
      <c r="O104" s="96"/>
      <c r="P104" s="92"/>
      <c r="Q104" s="93"/>
      <c r="R104" s="94"/>
      <c r="S104" s="94"/>
    </row>
    <row r="105" spans="1:19" s="39" customFormat="1" ht="12.75">
      <c r="A105" s="53" t="s">
        <v>122</v>
      </c>
      <c r="B105" s="41" t="str">
        <f>доходы!B22</f>
        <v>Студия конструирования "Йохокуб"</v>
      </c>
      <c r="F105" s="40"/>
      <c r="G105" s="40"/>
      <c r="H105" s="40"/>
      <c r="I105" s="40"/>
      <c r="J105" s="40"/>
      <c r="K105" s="50"/>
      <c r="L105" s="40"/>
      <c r="M105" s="40"/>
      <c r="N105" s="40"/>
      <c r="O105" s="40"/>
      <c r="P105" s="40"/>
      <c r="Q105" s="40"/>
      <c r="R105" s="40"/>
      <c r="S105" s="40"/>
    </row>
    <row r="106" spans="1:19" s="39" customFormat="1" ht="13.5" thickBo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50"/>
      <c r="L106" s="40"/>
      <c r="M106" s="40"/>
      <c r="N106" s="40"/>
      <c r="O106" s="40"/>
      <c r="P106" s="40"/>
      <c r="Q106" s="40"/>
      <c r="R106" s="40"/>
      <c r="S106" s="40"/>
    </row>
    <row r="107" spans="1:19" s="39" customFormat="1" ht="51.75" thickBot="1">
      <c r="A107" s="54" t="s">
        <v>1</v>
      </c>
      <c r="B107" s="54" t="s">
        <v>2</v>
      </c>
      <c r="C107" s="54" t="s">
        <v>8</v>
      </c>
      <c r="D107" s="54" t="s">
        <v>3</v>
      </c>
      <c r="E107" s="54" t="s">
        <v>214</v>
      </c>
      <c r="F107" s="54" t="s">
        <v>215</v>
      </c>
      <c r="G107" s="54" t="s">
        <v>216</v>
      </c>
      <c r="H107" s="54" t="s">
        <v>117</v>
      </c>
      <c r="I107" s="54" t="s">
        <v>99</v>
      </c>
      <c r="J107" s="54" t="s">
        <v>213</v>
      </c>
      <c r="K107" s="55" t="s">
        <v>66</v>
      </c>
      <c r="L107" s="54" t="s">
        <v>67</v>
      </c>
      <c r="M107" s="54" t="s">
        <v>6</v>
      </c>
      <c r="N107" s="54" t="s">
        <v>54</v>
      </c>
      <c r="O107" s="54" t="s">
        <v>7</v>
      </c>
      <c r="P107" s="54" t="s">
        <v>48</v>
      </c>
      <c r="Q107" s="54" t="s">
        <v>49</v>
      </c>
      <c r="R107" s="54" t="s">
        <v>50</v>
      </c>
      <c r="S107" s="54" t="s">
        <v>51</v>
      </c>
    </row>
    <row r="108" spans="1:19" s="39" customFormat="1" ht="13.5" thickBot="1">
      <c r="A108" s="56">
        <v>1</v>
      </c>
      <c r="B108" s="57">
        <v>2</v>
      </c>
      <c r="C108" s="57">
        <v>3</v>
      </c>
      <c r="D108" s="57">
        <v>4</v>
      </c>
      <c r="E108" s="57">
        <v>5</v>
      </c>
      <c r="F108" s="57">
        <v>6</v>
      </c>
      <c r="G108" s="57">
        <v>7</v>
      </c>
      <c r="H108" s="57">
        <v>8</v>
      </c>
      <c r="I108" s="57">
        <v>9</v>
      </c>
      <c r="J108" s="57">
        <v>10</v>
      </c>
      <c r="K108" s="58">
        <v>11</v>
      </c>
      <c r="L108" s="57">
        <v>12</v>
      </c>
      <c r="M108" s="57">
        <v>13</v>
      </c>
      <c r="N108" s="57">
        <v>14</v>
      </c>
      <c r="O108" s="57">
        <v>15</v>
      </c>
      <c r="P108" s="57">
        <v>16</v>
      </c>
      <c r="Q108" s="57">
        <v>17</v>
      </c>
      <c r="R108" s="57">
        <v>18</v>
      </c>
      <c r="S108" s="59">
        <v>19</v>
      </c>
    </row>
    <row r="109" spans="1:19" s="112" customFormat="1" ht="42" customHeight="1" thickBot="1" thickTop="1">
      <c r="A109" s="123">
        <v>1</v>
      </c>
      <c r="B109" s="61" t="s">
        <v>234</v>
      </c>
      <c r="C109" s="62" t="s">
        <v>180</v>
      </c>
      <c r="D109" s="124" t="str">
        <f>B105</f>
        <v>Студия конструирования "Йохокуб"</v>
      </c>
      <c r="E109" s="63">
        <f>ROUND(O109/18/4,2)</f>
        <v>0.06</v>
      </c>
      <c r="F109" s="63">
        <v>8999</v>
      </c>
      <c r="G109" s="110">
        <f>E109*F109</f>
        <v>539.94</v>
      </c>
      <c r="H109" s="64">
        <v>0</v>
      </c>
      <c r="I109" s="64">
        <v>0</v>
      </c>
      <c r="J109" s="372">
        <f>K109/G109</f>
        <v>4.24</v>
      </c>
      <c r="K109" s="65">
        <f>N109*O109*P109</f>
        <v>2289.6</v>
      </c>
      <c r="L109" s="63">
        <f>18*25*4</f>
        <v>1800</v>
      </c>
      <c r="M109" s="125">
        <f>N109*O109</f>
        <v>48</v>
      </c>
      <c r="N109" s="125">
        <v>12</v>
      </c>
      <c r="O109" s="63">
        <v>4</v>
      </c>
      <c r="P109" s="128">
        <v>47.7</v>
      </c>
      <c r="Q109" s="127">
        <f>N109*O109*P109</f>
        <v>2289.6</v>
      </c>
      <c r="R109" s="127">
        <f>Q109*0.15</f>
        <v>343.44</v>
      </c>
      <c r="S109" s="129">
        <f>Q109+R109</f>
        <v>2633.04</v>
      </c>
    </row>
    <row r="110" spans="1:19" s="39" customFormat="1" ht="25.5" hidden="1">
      <c r="A110" s="130">
        <v>2</v>
      </c>
      <c r="B110" s="131"/>
      <c r="C110" s="130" t="s">
        <v>52</v>
      </c>
      <c r="D110" s="132" t="str">
        <f aca="true" t="shared" si="45" ref="D110:D118">B$105</f>
        <v>Студия конструирования "Йохокуб"</v>
      </c>
      <c r="E110" s="130"/>
      <c r="F110" s="130">
        <f aca="true" t="shared" si="46" ref="F110:F118">ROUND(O110/18/4,2)</f>
        <v>0</v>
      </c>
      <c r="G110" s="130">
        <v>7570</v>
      </c>
      <c r="H110" s="133">
        <f>H$24</f>
        <v>0</v>
      </c>
      <c r="I110" s="133">
        <v>0</v>
      </c>
      <c r="J110" s="130"/>
      <c r="K110" s="134">
        <f aca="true" t="shared" si="47" ref="K110:K118">(G110+G110*(H110+I110))*J110</f>
        <v>0</v>
      </c>
      <c r="L110" s="130">
        <f aca="true" t="shared" si="48" ref="L110:L118">18*25*4</f>
        <v>1800</v>
      </c>
      <c r="M110" s="130">
        <f aca="true" t="shared" si="49" ref="M110:M118">N110*O110</f>
        <v>0</v>
      </c>
      <c r="N110" s="130"/>
      <c r="O110" s="130"/>
      <c r="P110" s="135">
        <f aca="true" t="shared" si="50" ref="P110:P118">ROUND(K110/L110,2)</f>
        <v>0</v>
      </c>
      <c r="Q110" s="134">
        <f aca="true" t="shared" si="51" ref="Q110:Q118">N110*O110*P110</f>
        <v>0</v>
      </c>
      <c r="R110" s="134">
        <f aca="true" t="shared" si="52" ref="R110:R118">Q110*0.15</f>
        <v>0</v>
      </c>
      <c r="S110" s="134">
        <f aca="true" t="shared" si="53" ref="S110:S118">Q110+R110</f>
        <v>0</v>
      </c>
    </row>
    <row r="111" spans="1:19" s="39" customFormat="1" ht="25.5" hidden="1">
      <c r="A111" s="71">
        <v>3</v>
      </c>
      <c r="B111" s="70"/>
      <c r="C111" s="71" t="s">
        <v>52</v>
      </c>
      <c r="D111" s="72" t="str">
        <f t="shared" si="45"/>
        <v>Студия конструирования "Йохокуб"</v>
      </c>
      <c r="E111" s="71"/>
      <c r="F111" s="71">
        <f t="shared" si="46"/>
        <v>0</v>
      </c>
      <c r="G111" s="71">
        <v>7570</v>
      </c>
      <c r="H111" s="73">
        <f aca="true" t="shared" si="54" ref="H111:H118">H$24</f>
        <v>0</v>
      </c>
      <c r="I111" s="73"/>
      <c r="J111" s="71"/>
      <c r="K111" s="74">
        <f t="shared" si="47"/>
        <v>0</v>
      </c>
      <c r="L111" s="71">
        <f t="shared" si="48"/>
        <v>1800</v>
      </c>
      <c r="M111" s="71">
        <f t="shared" si="49"/>
        <v>0</v>
      </c>
      <c r="N111" s="71"/>
      <c r="O111" s="71"/>
      <c r="P111" s="75">
        <f t="shared" si="50"/>
        <v>0</v>
      </c>
      <c r="Q111" s="74">
        <f t="shared" si="51"/>
        <v>0</v>
      </c>
      <c r="R111" s="74">
        <f t="shared" si="52"/>
        <v>0</v>
      </c>
      <c r="S111" s="74">
        <f t="shared" si="53"/>
        <v>0</v>
      </c>
    </row>
    <row r="112" spans="1:19" s="39" customFormat="1" ht="25.5" hidden="1">
      <c r="A112" s="71">
        <v>4</v>
      </c>
      <c r="B112" s="70"/>
      <c r="C112" s="71" t="s">
        <v>52</v>
      </c>
      <c r="D112" s="72" t="str">
        <f t="shared" si="45"/>
        <v>Студия конструирования "Йохокуб"</v>
      </c>
      <c r="E112" s="71"/>
      <c r="F112" s="71">
        <f t="shared" si="46"/>
        <v>0</v>
      </c>
      <c r="G112" s="71">
        <v>7570</v>
      </c>
      <c r="H112" s="73">
        <f t="shared" si="54"/>
        <v>0</v>
      </c>
      <c r="I112" s="73"/>
      <c r="J112" s="71"/>
      <c r="K112" s="74">
        <f t="shared" si="47"/>
        <v>0</v>
      </c>
      <c r="L112" s="71">
        <f t="shared" si="48"/>
        <v>1800</v>
      </c>
      <c r="M112" s="71">
        <f t="shared" si="49"/>
        <v>0</v>
      </c>
      <c r="N112" s="71"/>
      <c r="O112" s="71"/>
      <c r="P112" s="75">
        <f t="shared" si="50"/>
        <v>0</v>
      </c>
      <c r="Q112" s="74">
        <f t="shared" si="51"/>
        <v>0</v>
      </c>
      <c r="R112" s="74">
        <f t="shared" si="52"/>
        <v>0</v>
      </c>
      <c r="S112" s="74">
        <f t="shared" si="53"/>
        <v>0</v>
      </c>
    </row>
    <row r="113" spans="1:19" s="39" customFormat="1" ht="25.5" hidden="1">
      <c r="A113" s="71">
        <v>5</v>
      </c>
      <c r="B113" s="70"/>
      <c r="C113" s="71" t="s">
        <v>52</v>
      </c>
      <c r="D113" s="72" t="str">
        <f t="shared" si="45"/>
        <v>Студия конструирования "Йохокуб"</v>
      </c>
      <c r="E113" s="71"/>
      <c r="F113" s="71">
        <f t="shared" si="46"/>
        <v>0</v>
      </c>
      <c r="G113" s="71">
        <v>7570</v>
      </c>
      <c r="H113" s="73">
        <f t="shared" si="54"/>
        <v>0</v>
      </c>
      <c r="I113" s="73"/>
      <c r="J113" s="71"/>
      <c r="K113" s="74">
        <f t="shared" si="47"/>
        <v>0</v>
      </c>
      <c r="L113" s="71">
        <f t="shared" si="48"/>
        <v>1800</v>
      </c>
      <c r="M113" s="71">
        <f t="shared" si="49"/>
        <v>0</v>
      </c>
      <c r="N113" s="71"/>
      <c r="O113" s="71"/>
      <c r="P113" s="75">
        <f t="shared" si="50"/>
        <v>0</v>
      </c>
      <c r="Q113" s="74">
        <f t="shared" si="51"/>
        <v>0</v>
      </c>
      <c r="R113" s="74">
        <f t="shared" si="52"/>
        <v>0</v>
      </c>
      <c r="S113" s="74">
        <f t="shared" si="53"/>
        <v>0</v>
      </c>
    </row>
    <row r="114" spans="1:19" s="39" customFormat="1" ht="25.5" hidden="1">
      <c r="A114" s="71">
        <v>6</v>
      </c>
      <c r="B114" s="70"/>
      <c r="C114" s="71" t="s">
        <v>52</v>
      </c>
      <c r="D114" s="72" t="str">
        <f t="shared" si="45"/>
        <v>Студия конструирования "Йохокуб"</v>
      </c>
      <c r="E114" s="71"/>
      <c r="F114" s="71">
        <f t="shared" si="46"/>
        <v>0</v>
      </c>
      <c r="G114" s="71">
        <v>7570</v>
      </c>
      <c r="H114" s="73">
        <f t="shared" si="54"/>
        <v>0</v>
      </c>
      <c r="I114" s="73"/>
      <c r="J114" s="71"/>
      <c r="K114" s="74">
        <f t="shared" si="47"/>
        <v>0</v>
      </c>
      <c r="L114" s="71">
        <f t="shared" si="48"/>
        <v>1800</v>
      </c>
      <c r="M114" s="71">
        <f t="shared" si="49"/>
        <v>0</v>
      </c>
      <c r="N114" s="71"/>
      <c r="O114" s="71"/>
      <c r="P114" s="75">
        <f t="shared" si="50"/>
        <v>0</v>
      </c>
      <c r="Q114" s="74">
        <f t="shared" si="51"/>
        <v>0</v>
      </c>
      <c r="R114" s="74">
        <f t="shared" si="52"/>
        <v>0</v>
      </c>
      <c r="S114" s="74">
        <f t="shared" si="53"/>
        <v>0</v>
      </c>
    </row>
    <row r="115" spans="1:19" s="39" customFormat="1" ht="25.5" hidden="1">
      <c r="A115" s="71">
        <v>7</v>
      </c>
      <c r="B115" s="70"/>
      <c r="C115" s="71" t="s">
        <v>52</v>
      </c>
      <c r="D115" s="72" t="str">
        <f t="shared" si="45"/>
        <v>Студия конструирования "Йохокуб"</v>
      </c>
      <c r="E115" s="71"/>
      <c r="F115" s="71">
        <f t="shared" si="46"/>
        <v>0</v>
      </c>
      <c r="G115" s="71">
        <v>7570</v>
      </c>
      <c r="H115" s="73">
        <f t="shared" si="54"/>
        <v>0</v>
      </c>
      <c r="I115" s="73"/>
      <c r="J115" s="71"/>
      <c r="K115" s="74">
        <f t="shared" si="47"/>
        <v>0</v>
      </c>
      <c r="L115" s="71">
        <f t="shared" si="48"/>
        <v>1800</v>
      </c>
      <c r="M115" s="71">
        <f t="shared" si="49"/>
        <v>0</v>
      </c>
      <c r="N115" s="71"/>
      <c r="O115" s="71"/>
      <c r="P115" s="75">
        <f t="shared" si="50"/>
        <v>0</v>
      </c>
      <c r="Q115" s="74">
        <f t="shared" si="51"/>
        <v>0</v>
      </c>
      <c r="R115" s="74">
        <f t="shared" si="52"/>
        <v>0</v>
      </c>
      <c r="S115" s="74">
        <f t="shared" si="53"/>
        <v>0</v>
      </c>
    </row>
    <row r="116" spans="1:19" s="39" customFormat="1" ht="25.5" hidden="1">
      <c r="A116" s="71">
        <v>8</v>
      </c>
      <c r="B116" s="70"/>
      <c r="C116" s="71" t="s">
        <v>52</v>
      </c>
      <c r="D116" s="72" t="str">
        <f t="shared" si="45"/>
        <v>Студия конструирования "Йохокуб"</v>
      </c>
      <c r="E116" s="71"/>
      <c r="F116" s="71">
        <f t="shared" si="46"/>
        <v>0</v>
      </c>
      <c r="G116" s="71">
        <v>7570</v>
      </c>
      <c r="H116" s="73">
        <f t="shared" si="54"/>
        <v>0</v>
      </c>
      <c r="I116" s="73"/>
      <c r="J116" s="71"/>
      <c r="K116" s="74">
        <f t="shared" si="47"/>
        <v>0</v>
      </c>
      <c r="L116" s="71">
        <f t="shared" si="48"/>
        <v>1800</v>
      </c>
      <c r="M116" s="71">
        <f t="shared" si="49"/>
        <v>0</v>
      </c>
      <c r="N116" s="71"/>
      <c r="O116" s="71"/>
      <c r="P116" s="75">
        <f t="shared" si="50"/>
        <v>0</v>
      </c>
      <c r="Q116" s="74">
        <f t="shared" si="51"/>
        <v>0</v>
      </c>
      <c r="R116" s="74">
        <f t="shared" si="52"/>
        <v>0</v>
      </c>
      <c r="S116" s="74">
        <f t="shared" si="53"/>
        <v>0</v>
      </c>
    </row>
    <row r="117" spans="1:19" s="39" customFormat="1" ht="25.5" hidden="1">
      <c r="A117" s="71">
        <v>9</v>
      </c>
      <c r="B117" s="70"/>
      <c r="C117" s="71" t="s">
        <v>52</v>
      </c>
      <c r="D117" s="72" t="str">
        <f t="shared" si="45"/>
        <v>Студия конструирования "Йохокуб"</v>
      </c>
      <c r="E117" s="71"/>
      <c r="F117" s="71">
        <f t="shared" si="46"/>
        <v>0</v>
      </c>
      <c r="G117" s="71">
        <v>7570</v>
      </c>
      <c r="H117" s="73">
        <f t="shared" si="54"/>
        <v>0</v>
      </c>
      <c r="I117" s="73"/>
      <c r="J117" s="71"/>
      <c r="K117" s="74">
        <f t="shared" si="47"/>
        <v>0</v>
      </c>
      <c r="L117" s="71">
        <f t="shared" si="48"/>
        <v>1800</v>
      </c>
      <c r="M117" s="71">
        <f t="shared" si="49"/>
        <v>0</v>
      </c>
      <c r="N117" s="71"/>
      <c r="O117" s="71"/>
      <c r="P117" s="75">
        <f t="shared" si="50"/>
        <v>0</v>
      </c>
      <c r="Q117" s="74">
        <f t="shared" si="51"/>
        <v>0</v>
      </c>
      <c r="R117" s="74">
        <f t="shared" si="52"/>
        <v>0</v>
      </c>
      <c r="S117" s="74">
        <f t="shared" si="53"/>
        <v>0</v>
      </c>
    </row>
    <row r="118" spans="1:19" s="39" customFormat="1" ht="26.25" hidden="1" thickBot="1">
      <c r="A118" s="79">
        <v>10</v>
      </c>
      <c r="B118" s="78"/>
      <c r="C118" s="79" t="s">
        <v>52</v>
      </c>
      <c r="D118" s="80" t="str">
        <f t="shared" si="45"/>
        <v>Студия конструирования "Йохокуб"</v>
      </c>
      <c r="E118" s="79"/>
      <c r="F118" s="79">
        <f t="shared" si="46"/>
        <v>0</v>
      </c>
      <c r="G118" s="79">
        <v>7570</v>
      </c>
      <c r="H118" s="81">
        <f t="shared" si="54"/>
        <v>0</v>
      </c>
      <c r="I118" s="81"/>
      <c r="J118" s="79"/>
      <c r="K118" s="82">
        <f t="shared" si="47"/>
        <v>0</v>
      </c>
      <c r="L118" s="79">
        <f t="shared" si="48"/>
        <v>1800</v>
      </c>
      <c r="M118" s="79">
        <f t="shared" si="49"/>
        <v>0</v>
      </c>
      <c r="N118" s="79"/>
      <c r="O118" s="79"/>
      <c r="P118" s="83">
        <f t="shared" si="50"/>
        <v>0</v>
      </c>
      <c r="Q118" s="82">
        <f t="shared" si="51"/>
        <v>0</v>
      </c>
      <c r="R118" s="82">
        <f t="shared" si="52"/>
        <v>0</v>
      </c>
      <c r="S118" s="82">
        <f t="shared" si="53"/>
        <v>0</v>
      </c>
    </row>
    <row r="119" spans="1:19" s="39" customFormat="1" ht="13.5" thickBot="1">
      <c r="A119" s="85"/>
      <c r="B119" s="86"/>
      <c r="C119" s="86"/>
      <c r="D119" s="86" t="s">
        <v>53</v>
      </c>
      <c r="E119" s="86"/>
      <c r="F119" s="87">
        <f>SUM(F109:F118)</f>
        <v>8999</v>
      </c>
      <c r="G119" s="86"/>
      <c r="H119" s="86"/>
      <c r="I119" s="86"/>
      <c r="J119" s="86"/>
      <c r="K119" s="88"/>
      <c r="L119" s="86"/>
      <c r="M119" s="89">
        <f>SUM(M109:M118)</f>
        <v>48</v>
      </c>
      <c r="N119" s="89">
        <f>доходы!C22</f>
        <v>21</v>
      </c>
      <c r="O119" s="89">
        <f>SUM(O109:O118)</f>
        <v>4</v>
      </c>
      <c r="P119" s="86"/>
      <c r="Q119" s="87">
        <f>SUM(Q109:Q118)</f>
        <v>2289.6</v>
      </c>
      <c r="R119" s="87">
        <f>SUM(R109:R118)</f>
        <v>343.44</v>
      </c>
      <c r="S119" s="90">
        <f>SUM(S109:S118)</f>
        <v>2633.04</v>
      </c>
    </row>
    <row r="120" spans="1:19" s="39" customFormat="1" ht="13.5" thickBot="1">
      <c r="A120" s="118"/>
      <c r="B120" s="92"/>
      <c r="C120" s="92"/>
      <c r="D120" s="92"/>
      <c r="E120" s="92"/>
      <c r="F120" s="93"/>
      <c r="G120" s="92"/>
      <c r="H120" s="92"/>
      <c r="I120" s="92"/>
      <c r="J120" s="92"/>
      <c r="K120" s="94"/>
      <c r="L120" s="92"/>
      <c r="M120" s="95"/>
      <c r="N120" s="95">
        <f>доходы!C22</f>
        <v>21</v>
      </c>
      <c r="O120" s="96" t="s">
        <v>116</v>
      </c>
      <c r="P120" s="92"/>
      <c r="Q120" s="97"/>
      <c r="R120" s="98"/>
      <c r="S120" s="122"/>
    </row>
    <row r="121" spans="1:19" s="39" customFormat="1" ht="12.75" hidden="1">
      <c r="A121" s="53" t="s">
        <v>120</v>
      </c>
      <c r="B121" s="41">
        <f>доходы!B23</f>
        <v>0</v>
      </c>
      <c r="F121" s="40"/>
      <c r="G121" s="40"/>
      <c r="H121" s="40"/>
      <c r="I121" s="40"/>
      <c r="J121" s="40"/>
      <c r="K121" s="50"/>
      <c r="L121" s="40"/>
      <c r="M121" s="40"/>
      <c r="N121" s="40"/>
      <c r="O121" s="40"/>
      <c r="P121" s="40"/>
      <c r="Q121" s="40"/>
      <c r="R121" s="40"/>
      <c r="S121" s="40"/>
    </row>
    <row r="122" spans="1:19" s="39" customFormat="1" ht="13.5" hidden="1" thickBo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50"/>
      <c r="L122" s="40"/>
      <c r="M122" s="40"/>
      <c r="N122" s="40"/>
      <c r="O122" s="40"/>
      <c r="P122" s="40"/>
      <c r="Q122" s="40"/>
      <c r="R122" s="40"/>
      <c r="S122" s="40"/>
    </row>
    <row r="123" spans="1:19" s="39" customFormat="1" ht="51.75" hidden="1" thickBot="1">
      <c r="A123" s="54" t="s">
        <v>1</v>
      </c>
      <c r="B123" s="54" t="s">
        <v>2</v>
      </c>
      <c r="C123" s="54" t="s">
        <v>8</v>
      </c>
      <c r="D123" s="54" t="s">
        <v>3</v>
      </c>
      <c r="E123" s="54" t="s">
        <v>214</v>
      </c>
      <c r="F123" s="54" t="s">
        <v>215</v>
      </c>
      <c r="G123" s="54" t="s">
        <v>216</v>
      </c>
      <c r="H123" s="54" t="s">
        <v>117</v>
      </c>
      <c r="I123" s="54" t="s">
        <v>99</v>
      </c>
      <c r="J123" s="54" t="s">
        <v>213</v>
      </c>
      <c r="K123" s="55" t="s">
        <v>66</v>
      </c>
      <c r="L123" s="54" t="s">
        <v>67</v>
      </c>
      <c r="M123" s="54" t="s">
        <v>6</v>
      </c>
      <c r="N123" s="54" t="s">
        <v>54</v>
      </c>
      <c r="O123" s="54" t="s">
        <v>7</v>
      </c>
      <c r="P123" s="54" t="s">
        <v>48</v>
      </c>
      <c r="Q123" s="54" t="s">
        <v>49</v>
      </c>
      <c r="R123" s="54" t="s">
        <v>50</v>
      </c>
      <c r="S123" s="54" t="s">
        <v>51</v>
      </c>
    </row>
    <row r="124" spans="1:19" s="39" customFormat="1" ht="13.5" hidden="1" thickBot="1">
      <c r="A124" s="56">
        <v>1</v>
      </c>
      <c r="B124" s="57">
        <v>2</v>
      </c>
      <c r="C124" s="57">
        <v>3</v>
      </c>
      <c r="D124" s="57">
        <v>4</v>
      </c>
      <c r="E124" s="57">
        <v>5</v>
      </c>
      <c r="F124" s="57">
        <v>6</v>
      </c>
      <c r="G124" s="57">
        <v>7</v>
      </c>
      <c r="H124" s="57">
        <v>8</v>
      </c>
      <c r="I124" s="57">
        <v>9</v>
      </c>
      <c r="J124" s="57">
        <v>10</v>
      </c>
      <c r="K124" s="58">
        <v>11</v>
      </c>
      <c r="L124" s="57">
        <v>12</v>
      </c>
      <c r="M124" s="57">
        <v>13</v>
      </c>
      <c r="N124" s="57">
        <v>14</v>
      </c>
      <c r="O124" s="57">
        <v>15</v>
      </c>
      <c r="P124" s="57">
        <v>16</v>
      </c>
      <c r="Q124" s="57">
        <v>17</v>
      </c>
      <c r="R124" s="57">
        <v>18</v>
      </c>
      <c r="S124" s="59">
        <v>19</v>
      </c>
    </row>
    <row r="125" spans="1:19" s="112" customFormat="1" ht="36.75" customHeight="1" hidden="1" thickTop="1">
      <c r="A125" s="60">
        <v>1</v>
      </c>
      <c r="B125" s="61"/>
      <c r="C125" s="62" t="s">
        <v>180</v>
      </c>
      <c r="D125" s="61">
        <f>B$121</f>
        <v>0</v>
      </c>
      <c r="E125" s="63">
        <f>ROUND(O125/18/4,2)</f>
        <v>0</v>
      </c>
      <c r="F125" s="63">
        <v>8570</v>
      </c>
      <c r="G125" s="110">
        <f>E125*F125</f>
        <v>0</v>
      </c>
      <c r="H125" s="64">
        <v>0</v>
      </c>
      <c r="I125" s="64">
        <v>0</v>
      </c>
      <c r="J125" s="372" t="e">
        <f>K125/G125</f>
        <v>#DIV/0!</v>
      </c>
      <c r="K125" s="65">
        <f>N125*O125*P125</f>
        <v>0</v>
      </c>
      <c r="L125" s="63">
        <f>18*25*4</f>
        <v>1800</v>
      </c>
      <c r="M125" s="63">
        <f>N125*O125</f>
        <v>0</v>
      </c>
      <c r="N125" s="63"/>
      <c r="O125" s="63"/>
      <c r="P125" s="66"/>
      <c r="Q125" s="65">
        <f>N125*O125*P125</f>
        <v>0</v>
      </c>
      <c r="R125" s="65">
        <f>Q125*0.15</f>
        <v>0</v>
      </c>
      <c r="S125" s="67">
        <f>Q125+R125</f>
        <v>0</v>
      </c>
    </row>
    <row r="126" spans="1:19" s="39" customFormat="1" ht="12.75" hidden="1">
      <c r="A126" s="69">
        <v>2</v>
      </c>
      <c r="B126" s="70"/>
      <c r="C126" s="71" t="s">
        <v>52</v>
      </c>
      <c r="D126" s="72">
        <f aca="true" t="shared" si="55" ref="D126:D134">B$121</f>
        <v>0</v>
      </c>
      <c r="E126" s="71"/>
      <c r="F126" s="71">
        <f aca="true" t="shared" si="56" ref="F126:F134">ROUND(O126/18/4,2)</f>
        <v>0</v>
      </c>
      <c r="G126" s="71">
        <v>7570</v>
      </c>
      <c r="H126" s="73">
        <f>H$24</f>
        <v>0</v>
      </c>
      <c r="I126" s="73">
        <v>0</v>
      </c>
      <c r="J126" s="71"/>
      <c r="K126" s="74">
        <f aca="true" t="shared" si="57" ref="K126:K134">(G126+G126*(H126+I126))*J126</f>
        <v>0</v>
      </c>
      <c r="L126" s="71">
        <f aca="true" t="shared" si="58" ref="L126:L134">18*25*4</f>
        <v>1800</v>
      </c>
      <c r="M126" s="71">
        <f aca="true" t="shared" si="59" ref="M126:M134">N126*O126</f>
        <v>0</v>
      </c>
      <c r="N126" s="71"/>
      <c r="O126" s="71"/>
      <c r="P126" s="75">
        <f aca="true" t="shared" si="60" ref="P126:P134">ROUND(K126/L126,2)</f>
        <v>0</v>
      </c>
      <c r="Q126" s="74">
        <f aca="true" t="shared" si="61" ref="Q126:Q134">N126*O126*P126</f>
        <v>0</v>
      </c>
      <c r="R126" s="74">
        <f aca="true" t="shared" si="62" ref="R126:R134">Q126*0.15</f>
        <v>0</v>
      </c>
      <c r="S126" s="76">
        <f aca="true" t="shared" si="63" ref="S126:S134">Q126+R126</f>
        <v>0</v>
      </c>
    </row>
    <row r="127" spans="1:19" s="39" customFormat="1" ht="12.75" hidden="1">
      <c r="A127" s="69">
        <v>3</v>
      </c>
      <c r="B127" s="70"/>
      <c r="C127" s="71" t="s">
        <v>52</v>
      </c>
      <c r="D127" s="72">
        <f t="shared" si="55"/>
        <v>0</v>
      </c>
      <c r="E127" s="71"/>
      <c r="F127" s="71">
        <f t="shared" si="56"/>
        <v>0</v>
      </c>
      <c r="G127" s="71">
        <v>7570</v>
      </c>
      <c r="H127" s="73">
        <f aca="true" t="shared" si="64" ref="H127:H134">H$24</f>
        <v>0</v>
      </c>
      <c r="I127" s="73"/>
      <c r="J127" s="71"/>
      <c r="K127" s="74">
        <f t="shared" si="57"/>
        <v>0</v>
      </c>
      <c r="L127" s="71">
        <f t="shared" si="58"/>
        <v>1800</v>
      </c>
      <c r="M127" s="71">
        <f t="shared" si="59"/>
        <v>0</v>
      </c>
      <c r="N127" s="71"/>
      <c r="O127" s="71"/>
      <c r="P127" s="75">
        <f t="shared" si="60"/>
        <v>0</v>
      </c>
      <c r="Q127" s="74">
        <f t="shared" si="61"/>
        <v>0</v>
      </c>
      <c r="R127" s="74">
        <f t="shared" si="62"/>
        <v>0</v>
      </c>
      <c r="S127" s="76">
        <f t="shared" si="63"/>
        <v>0</v>
      </c>
    </row>
    <row r="128" spans="1:19" s="39" customFormat="1" ht="12.75" hidden="1">
      <c r="A128" s="69">
        <v>4</v>
      </c>
      <c r="B128" s="70"/>
      <c r="C128" s="71" t="s">
        <v>52</v>
      </c>
      <c r="D128" s="72">
        <f t="shared" si="55"/>
        <v>0</v>
      </c>
      <c r="E128" s="71"/>
      <c r="F128" s="71">
        <f t="shared" si="56"/>
        <v>0</v>
      </c>
      <c r="G128" s="71">
        <v>7570</v>
      </c>
      <c r="H128" s="73">
        <f t="shared" si="64"/>
        <v>0</v>
      </c>
      <c r="I128" s="73"/>
      <c r="J128" s="71"/>
      <c r="K128" s="74">
        <f t="shared" si="57"/>
        <v>0</v>
      </c>
      <c r="L128" s="71">
        <f t="shared" si="58"/>
        <v>1800</v>
      </c>
      <c r="M128" s="71">
        <f t="shared" si="59"/>
        <v>0</v>
      </c>
      <c r="N128" s="71"/>
      <c r="O128" s="71"/>
      <c r="P128" s="75">
        <f t="shared" si="60"/>
        <v>0</v>
      </c>
      <c r="Q128" s="74">
        <f t="shared" si="61"/>
        <v>0</v>
      </c>
      <c r="R128" s="74">
        <f t="shared" si="62"/>
        <v>0</v>
      </c>
      <c r="S128" s="76">
        <f t="shared" si="63"/>
        <v>0</v>
      </c>
    </row>
    <row r="129" spans="1:19" s="39" customFormat="1" ht="12.75" hidden="1">
      <c r="A129" s="69">
        <v>5</v>
      </c>
      <c r="B129" s="70"/>
      <c r="C129" s="71" t="s">
        <v>52</v>
      </c>
      <c r="D129" s="72">
        <f t="shared" si="55"/>
        <v>0</v>
      </c>
      <c r="E129" s="71"/>
      <c r="F129" s="71">
        <f t="shared" si="56"/>
        <v>0</v>
      </c>
      <c r="G129" s="71">
        <v>7570</v>
      </c>
      <c r="H129" s="73">
        <f t="shared" si="64"/>
        <v>0</v>
      </c>
      <c r="I129" s="73"/>
      <c r="J129" s="71"/>
      <c r="K129" s="74">
        <f t="shared" si="57"/>
        <v>0</v>
      </c>
      <c r="L129" s="71">
        <f t="shared" si="58"/>
        <v>1800</v>
      </c>
      <c r="M129" s="71">
        <f t="shared" si="59"/>
        <v>0</v>
      </c>
      <c r="N129" s="71"/>
      <c r="O129" s="71"/>
      <c r="P129" s="75">
        <f t="shared" si="60"/>
        <v>0</v>
      </c>
      <c r="Q129" s="74">
        <f t="shared" si="61"/>
        <v>0</v>
      </c>
      <c r="R129" s="74">
        <f t="shared" si="62"/>
        <v>0</v>
      </c>
      <c r="S129" s="76">
        <f t="shared" si="63"/>
        <v>0</v>
      </c>
    </row>
    <row r="130" spans="1:19" s="39" customFormat="1" ht="12.75" hidden="1">
      <c r="A130" s="69">
        <v>6</v>
      </c>
      <c r="B130" s="70"/>
      <c r="C130" s="71" t="s">
        <v>52</v>
      </c>
      <c r="D130" s="72">
        <f t="shared" si="55"/>
        <v>0</v>
      </c>
      <c r="E130" s="71"/>
      <c r="F130" s="71">
        <f t="shared" si="56"/>
        <v>0</v>
      </c>
      <c r="G130" s="71">
        <v>7570</v>
      </c>
      <c r="H130" s="73">
        <f t="shared" si="64"/>
        <v>0</v>
      </c>
      <c r="I130" s="73"/>
      <c r="J130" s="71"/>
      <c r="K130" s="74">
        <f t="shared" si="57"/>
        <v>0</v>
      </c>
      <c r="L130" s="71">
        <f t="shared" si="58"/>
        <v>1800</v>
      </c>
      <c r="M130" s="71">
        <f t="shared" si="59"/>
        <v>0</v>
      </c>
      <c r="N130" s="71"/>
      <c r="O130" s="71"/>
      <c r="P130" s="75">
        <f t="shared" si="60"/>
        <v>0</v>
      </c>
      <c r="Q130" s="74">
        <f t="shared" si="61"/>
        <v>0</v>
      </c>
      <c r="R130" s="74">
        <f t="shared" si="62"/>
        <v>0</v>
      </c>
      <c r="S130" s="76">
        <f t="shared" si="63"/>
        <v>0</v>
      </c>
    </row>
    <row r="131" spans="1:19" s="39" customFormat="1" ht="12.75" hidden="1">
      <c r="A131" s="69">
        <v>7</v>
      </c>
      <c r="B131" s="70"/>
      <c r="C131" s="71" t="s">
        <v>52</v>
      </c>
      <c r="D131" s="72">
        <f t="shared" si="55"/>
        <v>0</v>
      </c>
      <c r="E131" s="71"/>
      <c r="F131" s="71">
        <f t="shared" si="56"/>
        <v>0</v>
      </c>
      <c r="G131" s="71">
        <v>7570</v>
      </c>
      <c r="H131" s="73">
        <f t="shared" si="64"/>
        <v>0</v>
      </c>
      <c r="I131" s="73"/>
      <c r="J131" s="71"/>
      <c r="K131" s="74">
        <f t="shared" si="57"/>
        <v>0</v>
      </c>
      <c r="L131" s="71">
        <f t="shared" si="58"/>
        <v>1800</v>
      </c>
      <c r="M131" s="71">
        <f t="shared" si="59"/>
        <v>0</v>
      </c>
      <c r="N131" s="71"/>
      <c r="O131" s="71"/>
      <c r="P131" s="75">
        <f t="shared" si="60"/>
        <v>0</v>
      </c>
      <c r="Q131" s="74">
        <f t="shared" si="61"/>
        <v>0</v>
      </c>
      <c r="R131" s="74">
        <f t="shared" si="62"/>
        <v>0</v>
      </c>
      <c r="S131" s="76">
        <f t="shared" si="63"/>
        <v>0</v>
      </c>
    </row>
    <row r="132" spans="1:19" s="39" customFormat="1" ht="12.75" hidden="1">
      <c r="A132" s="69">
        <v>8</v>
      </c>
      <c r="B132" s="70"/>
      <c r="C132" s="71" t="s">
        <v>52</v>
      </c>
      <c r="D132" s="72">
        <f t="shared" si="55"/>
        <v>0</v>
      </c>
      <c r="E132" s="71"/>
      <c r="F132" s="71">
        <f t="shared" si="56"/>
        <v>0</v>
      </c>
      <c r="G132" s="71">
        <v>7570</v>
      </c>
      <c r="H132" s="73">
        <f t="shared" si="64"/>
        <v>0</v>
      </c>
      <c r="I132" s="73"/>
      <c r="J132" s="71"/>
      <c r="K132" s="74">
        <f t="shared" si="57"/>
        <v>0</v>
      </c>
      <c r="L132" s="71">
        <f t="shared" si="58"/>
        <v>1800</v>
      </c>
      <c r="M132" s="71">
        <f t="shared" si="59"/>
        <v>0</v>
      </c>
      <c r="N132" s="71"/>
      <c r="O132" s="71"/>
      <c r="P132" s="75">
        <f t="shared" si="60"/>
        <v>0</v>
      </c>
      <c r="Q132" s="74">
        <f t="shared" si="61"/>
        <v>0</v>
      </c>
      <c r="R132" s="74">
        <f t="shared" si="62"/>
        <v>0</v>
      </c>
      <c r="S132" s="76">
        <f t="shared" si="63"/>
        <v>0</v>
      </c>
    </row>
    <row r="133" spans="1:19" s="39" customFormat="1" ht="12.75" hidden="1">
      <c r="A133" s="69">
        <v>9</v>
      </c>
      <c r="B133" s="70"/>
      <c r="C133" s="71" t="s">
        <v>52</v>
      </c>
      <c r="D133" s="72">
        <f t="shared" si="55"/>
        <v>0</v>
      </c>
      <c r="E133" s="71"/>
      <c r="F133" s="71">
        <f t="shared" si="56"/>
        <v>0</v>
      </c>
      <c r="G133" s="71">
        <v>7570</v>
      </c>
      <c r="H133" s="73">
        <f t="shared" si="64"/>
        <v>0</v>
      </c>
      <c r="I133" s="73"/>
      <c r="J133" s="71"/>
      <c r="K133" s="74">
        <f t="shared" si="57"/>
        <v>0</v>
      </c>
      <c r="L133" s="71">
        <f t="shared" si="58"/>
        <v>1800</v>
      </c>
      <c r="M133" s="71">
        <f t="shared" si="59"/>
        <v>0</v>
      </c>
      <c r="N133" s="71"/>
      <c r="O133" s="71"/>
      <c r="P133" s="75">
        <f t="shared" si="60"/>
        <v>0</v>
      </c>
      <c r="Q133" s="74">
        <f t="shared" si="61"/>
        <v>0</v>
      </c>
      <c r="R133" s="74">
        <f t="shared" si="62"/>
        <v>0</v>
      </c>
      <c r="S133" s="76">
        <f t="shared" si="63"/>
        <v>0</v>
      </c>
    </row>
    <row r="134" spans="1:19" s="39" customFormat="1" ht="13.5" hidden="1" thickBot="1">
      <c r="A134" s="77">
        <v>10</v>
      </c>
      <c r="B134" s="78"/>
      <c r="C134" s="79" t="s">
        <v>52</v>
      </c>
      <c r="D134" s="80">
        <f t="shared" si="55"/>
        <v>0</v>
      </c>
      <c r="E134" s="79"/>
      <c r="F134" s="79">
        <f t="shared" si="56"/>
        <v>0</v>
      </c>
      <c r="G134" s="79">
        <v>7570</v>
      </c>
      <c r="H134" s="81">
        <f t="shared" si="64"/>
        <v>0</v>
      </c>
      <c r="I134" s="81"/>
      <c r="J134" s="79"/>
      <c r="K134" s="82">
        <f t="shared" si="57"/>
        <v>0</v>
      </c>
      <c r="L134" s="79">
        <f t="shared" si="58"/>
        <v>1800</v>
      </c>
      <c r="M134" s="79">
        <f t="shared" si="59"/>
        <v>0</v>
      </c>
      <c r="N134" s="79"/>
      <c r="O134" s="79"/>
      <c r="P134" s="83">
        <f t="shared" si="60"/>
        <v>0</v>
      </c>
      <c r="Q134" s="82">
        <f t="shared" si="61"/>
        <v>0</v>
      </c>
      <c r="R134" s="82">
        <f t="shared" si="62"/>
        <v>0</v>
      </c>
      <c r="S134" s="84">
        <f t="shared" si="63"/>
        <v>0</v>
      </c>
    </row>
    <row r="135" spans="1:19" s="39" customFormat="1" ht="13.5" hidden="1" thickBot="1">
      <c r="A135" s="85"/>
      <c r="B135" s="86"/>
      <c r="C135" s="86"/>
      <c r="D135" s="86" t="s">
        <v>53</v>
      </c>
      <c r="E135" s="86"/>
      <c r="F135" s="87">
        <f>SUM(F125:F134)</f>
        <v>8570</v>
      </c>
      <c r="G135" s="86"/>
      <c r="H135" s="86"/>
      <c r="I135" s="86"/>
      <c r="J135" s="86"/>
      <c r="K135" s="88"/>
      <c r="L135" s="86"/>
      <c r="M135" s="89">
        <f>SUM(M125:M134)</f>
        <v>0</v>
      </c>
      <c r="N135" s="89">
        <f>SUM(N125:N134)</f>
        <v>0</v>
      </c>
      <c r="O135" s="89">
        <f>SUM(O125:O134)</f>
        <v>0</v>
      </c>
      <c r="P135" s="86"/>
      <c r="Q135" s="87">
        <f>SUM(Q125:Q134)</f>
        <v>0</v>
      </c>
      <c r="R135" s="87">
        <f>SUM(R125:R134)</f>
        <v>0</v>
      </c>
      <c r="S135" s="90">
        <f>SUM(S125:S134)</f>
        <v>0</v>
      </c>
    </row>
    <row r="136" spans="1:19" s="39" customFormat="1" ht="12.75" hidden="1">
      <c r="A136" s="118"/>
      <c r="B136" s="92"/>
      <c r="C136" s="92"/>
      <c r="D136" s="92"/>
      <c r="E136" s="92"/>
      <c r="F136" s="93"/>
      <c r="G136" s="92"/>
      <c r="H136" s="92"/>
      <c r="I136" s="92"/>
      <c r="J136" s="92"/>
      <c r="K136" s="94"/>
      <c r="L136" s="92"/>
      <c r="M136" s="95"/>
      <c r="N136" s="95">
        <f>доходы!C23</f>
        <v>0</v>
      </c>
      <c r="O136" s="96" t="s">
        <v>116</v>
      </c>
      <c r="P136" s="92"/>
      <c r="Q136" s="97"/>
      <c r="R136" s="98"/>
      <c r="S136" s="122"/>
    </row>
    <row r="137" spans="1:19" s="39" customFormat="1" ht="12.75" hidden="1">
      <c r="A137" s="53" t="s">
        <v>121</v>
      </c>
      <c r="B137" s="41" t="e">
        <f>доходы!#REF!</f>
        <v>#REF!</v>
      </c>
      <c r="F137" s="40"/>
      <c r="G137" s="40"/>
      <c r="H137" s="40"/>
      <c r="I137" s="40"/>
      <c r="J137" s="40"/>
      <c r="K137" s="50"/>
      <c r="L137" s="40"/>
      <c r="M137" s="40"/>
      <c r="N137" s="40"/>
      <c r="O137" s="40"/>
      <c r="P137" s="40"/>
      <c r="Q137" s="40"/>
      <c r="R137" s="40"/>
      <c r="S137" s="40"/>
    </row>
    <row r="138" spans="1:19" s="39" customFormat="1" ht="13.5" hidden="1" thickBo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50"/>
      <c r="L138" s="40"/>
      <c r="M138" s="40"/>
      <c r="N138" s="40"/>
      <c r="O138" s="40"/>
      <c r="P138" s="40"/>
      <c r="Q138" s="40"/>
      <c r="R138" s="40"/>
      <c r="S138" s="40"/>
    </row>
    <row r="139" spans="1:19" s="39" customFormat="1" ht="51.75" hidden="1" thickBot="1">
      <c r="A139" s="99" t="s">
        <v>1</v>
      </c>
      <c r="B139" s="99" t="s">
        <v>2</v>
      </c>
      <c r="C139" s="99" t="s">
        <v>8</v>
      </c>
      <c r="D139" s="99" t="s">
        <v>3</v>
      </c>
      <c r="E139" s="99" t="s">
        <v>4</v>
      </c>
      <c r="F139" s="99" t="s">
        <v>5</v>
      </c>
      <c r="G139" s="99" t="s">
        <v>64</v>
      </c>
      <c r="H139" s="99" t="s">
        <v>117</v>
      </c>
      <c r="I139" s="99" t="s">
        <v>99</v>
      </c>
      <c r="J139" s="99" t="s">
        <v>65</v>
      </c>
      <c r="K139" s="100" t="s">
        <v>66</v>
      </c>
      <c r="L139" s="99" t="s">
        <v>67</v>
      </c>
      <c r="M139" s="99" t="s">
        <v>6</v>
      </c>
      <c r="N139" s="99" t="s">
        <v>54</v>
      </c>
      <c r="O139" s="99" t="s">
        <v>7</v>
      </c>
      <c r="P139" s="99" t="s">
        <v>48</v>
      </c>
      <c r="Q139" s="99" t="s">
        <v>49</v>
      </c>
      <c r="R139" s="99" t="s">
        <v>50</v>
      </c>
      <c r="S139" s="99" t="s">
        <v>51</v>
      </c>
    </row>
    <row r="140" spans="1:19" s="39" customFormat="1" ht="12.75" hidden="1">
      <c r="A140" s="101">
        <v>1</v>
      </c>
      <c r="B140" s="102">
        <v>2</v>
      </c>
      <c r="C140" s="102">
        <v>3</v>
      </c>
      <c r="D140" s="102">
        <v>4</v>
      </c>
      <c r="E140" s="102">
        <v>5</v>
      </c>
      <c r="F140" s="102">
        <v>6</v>
      </c>
      <c r="G140" s="103">
        <v>7</v>
      </c>
      <c r="H140" s="102">
        <v>8</v>
      </c>
      <c r="I140" s="102">
        <v>9</v>
      </c>
      <c r="J140" s="102">
        <v>10</v>
      </c>
      <c r="K140" s="104">
        <v>11</v>
      </c>
      <c r="L140" s="102">
        <v>12</v>
      </c>
      <c r="M140" s="102">
        <v>13</v>
      </c>
      <c r="N140" s="102">
        <v>14</v>
      </c>
      <c r="O140" s="103">
        <v>15</v>
      </c>
      <c r="P140" s="102">
        <v>16</v>
      </c>
      <c r="Q140" s="102">
        <v>17</v>
      </c>
      <c r="R140" s="102">
        <v>18</v>
      </c>
      <c r="S140" s="105">
        <v>19</v>
      </c>
    </row>
    <row r="141" spans="1:19" s="112" customFormat="1" ht="38.25" hidden="1">
      <c r="A141" s="106">
        <v>1</v>
      </c>
      <c r="B141" s="107"/>
      <c r="C141" s="62" t="s">
        <v>180</v>
      </c>
      <c r="D141" s="108" t="e">
        <f>B$137</f>
        <v>#REF!</v>
      </c>
      <c r="E141" s="106"/>
      <c r="F141" s="106">
        <f>ROUND(O141/18/4,2)</f>
        <v>0</v>
      </c>
      <c r="G141" s="63">
        <f>D12</f>
        <v>8999</v>
      </c>
      <c r="H141" s="109">
        <v>0</v>
      </c>
      <c r="I141" s="109">
        <v>0</v>
      </c>
      <c r="J141" s="106">
        <v>12.745</v>
      </c>
      <c r="K141" s="110">
        <f>(G141+G141*(H141+I141))*J141</f>
        <v>114692.26</v>
      </c>
      <c r="L141" s="106">
        <f aca="true" t="shared" si="65" ref="L141:L150">18*25*4</f>
        <v>1800</v>
      </c>
      <c r="M141" s="106">
        <f>N141*O141</f>
        <v>0</v>
      </c>
      <c r="N141" s="106"/>
      <c r="O141" s="63"/>
      <c r="P141" s="111">
        <f>ROUND(K141/L141,2)</f>
        <v>63.72</v>
      </c>
      <c r="Q141" s="110">
        <f>N141*O141*P141</f>
        <v>0</v>
      </c>
      <c r="R141" s="110">
        <f>Q141*0.15</f>
        <v>0</v>
      </c>
      <c r="S141" s="110">
        <f>Q141+R141</f>
        <v>0</v>
      </c>
    </row>
    <row r="142" spans="1:19" s="39" customFormat="1" ht="12.75" hidden="1">
      <c r="A142" s="71">
        <v>2</v>
      </c>
      <c r="B142" s="70"/>
      <c r="C142" s="71" t="s">
        <v>52</v>
      </c>
      <c r="D142" s="72" t="e">
        <f aca="true" t="shared" si="66" ref="D142:D150">B$137</f>
        <v>#REF!</v>
      </c>
      <c r="E142" s="71"/>
      <c r="F142" s="71">
        <f aca="true" t="shared" si="67" ref="F142:F150">ROUND(O142/18/4,2)</f>
        <v>0</v>
      </c>
      <c r="G142" s="71">
        <v>7570</v>
      </c>
      <c r="H142" s="73">
        <f>H$24</f>
        <v>0</v>
      </c>
      <c r="I142" s="73">
        <v>0</v>
      </c>
      <c r="J142" s="71"/>
      <c r="K142" s="74">
        <f aca="true" t="shared" si="68" ref="K142:K150">(G142+G142*(H142+I142))*J142</f>
        <v>0</v>
      </c>
      <c r="L142" s="71">
        <f t="shared" si="65"/>
        <v>1800</v>
      </c>
      <c r="M142" s="71">
        <f aca="true" t="shared" si="69" ref="M142:M150">N142*O142</f>
        <v>0</v>
      </c>
      <c r="N142" s="71"/>
      <c r="O142" s="71"/>
      <c r="P142" s="75">
        <f aca="true" t="shared" si="70" ref="P142:P150">ROUND(K142/L142,2)</f>
        <v>0</v>
      </c>
      <c r="Q142" s="74">
        <f aca="true" t="shared" si="71" ref="Q142:Q150">N142*O142*P142</f>
        <v>0</v>
      </c>
      <c r="R142" s="74">
        <f aca="true" t="shared" si="72" ref="R142:R150">Q142*0.15</f>
        <v>0</v>
      </c>
      <c r="S142" s="74">
        <f aca="true" t="shared" si="73" ref="S142:S150">Q142+R142</f>
        <v>0</v>
      </c>
    </row>
    <row r="143" spans="1:19" s="39" customFormat="1" ht="12.75" hidden="1">
      <c r="A143" s="71">
        <v>3</v>
      </c>
      <c r="B143" s="70"/>
      <c r="C143" s="71" t="s">
        <v>52</v>
      </c>
      <c r="D143" s="72" t="e">
        <f t="shared" si="66"/>
        <v>#REF!</v>
      </c>
      <c r="E143" s="71"/>
      <c r="F143" s="71">
        <f t="shared" si="67"/>
        <v>0</v>
      </c>
      <c r="G143" s="71">
        <v>7570</v>
      </c>
      <c r="H143" s="73">
        <f aca="true" t="shared" si="74" ref="H143:H150">H$24</f>
        <v>0</v>
      </c>
      <c r="I143" s="73"/>
      <c r="J143" s="71"/>
      <c r="K143" s="74">
        <f t="shared" si="68"/>
        <v>0</v>
      </c>
      <c r="L143" s="71">
        <f t="shared" si="65"/>
        <v>1800</v>
      </c>
      <c r="M143" s="71">
        <f t="shared" si="69"/>
        <v>0</v>
      </c>
      <c r="N143" s="71"/>
      <c r="O143" s="71"/>
      <c r="P143" s="75">
        <f t="shared" si="70"/>
        <v>0</v>
      </c>
      <c r="Q143" s="74">
        <f t="shared" si="71"/>
        <v>0</v>
      </c>
      <c r="R143" s="74">
        <f t="shared" si="72"/>
        <v>0</v>
      </c>
      <c r="S143" s="74">
        <f t="shared" si="73"/>
        <v>0</v>
      </c>
    </row>
    <row r="144" spans="1:19" s="39" customFormat="1" ht="12.75" hidden="1">
      <c r="A144" s="71">
        <v>4</v>
      </c>
      <c r="B144" s="70"/>
      <c r="C144" s="71" t="s">
        <v>52</v>
      </c>
      <c r="D144" s="72" t="e">
        <f t="shared" si="66"/>
        <v>#REF!</v>
      </c>
      <c r="E144" s="71"/>
      <c r="F144" s="71">
        <f t="shared" si="67"/>
        <v>0</v>
      </c>
      <c r="G144" s="71">
        <v>7570</v>
      </c>
      <c r="H144" s="73">
        <f t="shared" si="74"/>
        <v>0</v>
      </c>
      <c r="I144" s="73"/>
      <c r="J144" s="71"/>
      <c r="K144" s="74">
        <f t="shared" si="68"/>
        <v>0</v>
      </c>
      <c r="L144" s="71">
        <f t="shared" si="65"/>
        <v>1800</v>
      </c>
      <c r="M144" s="71">
        <f t="shared" si="69"/>
        <v>0</v>
      </c>
      <c r="N144" s="71"/>
      <c r="O144" s="71"/>
      <c r="P144" s="75">
        <f t="shared" si="70"/>
        <v>0</v>
      </c>
      <c r="Q144" s="74">
        <f t="shared" si="71"/>
        <v>0</v>
      </c>
      <c r="R144" s="74">
        <f t="shared" si="72"/>
        <v>0</v>
      </c>
      <c r="S144" s="74">
        <f t="shared" si="73"/>
        <v>0</v>
      </c>
    </row>
    <row r="145" spans="1:19" s="39" customFormat="1" ht="12.75" hidden="1">
      <c r="A145" s="71">
        <v>5</v>
      </c>
      <c r="B145" s="70"/>
      <c r="C145" s="71" t="s">
        <v>52</v>
      </c>
      <c r="D145" s="72" t="e">
        <f t="shared" si="66"/>
        <v>#REF!</v>
      </c>
      <c r="E145" s="71"/>
      <c r="F145" s="71">
        <f t="shared" si="67"/>
        <v>0</v>
      </c>
      <c r="G145" s="71">
        <v>7570</v>
      </c>
      <c r="H145" s="73">
        <f t="shared" si="74"/>
        <v>0</v>
      </c>
      <c r="I145" s="73"/>
      <c r="J145" s="71"/>
      <c r="K145" s="74">
        <f t="shared" si="68"/>
        <v>0</v>
      </c>
      <c r="L145" s="71">
        <f t="shared" si="65"/>
        <v>1800</v>
      </c>
      <c r="M145" s="71">
        <f t="shared" si="69"/>
        <v>0</v>
      </c>
      <c r="N145" s="71"/>
      <c r="O145" s="71"/>
      <c r="P145" s="75">
        <f t="shared" si="70"/>
        <v>0</v>
      </c>
      <c r="Q145" s="74">
        <f t="shared" si="71"/>
        <v>0</v>
      </c>
      <c r="R145" s="74">
        <f t="shared" si="72"/>
        <v>0</v>
      </c>
      <c r="S145" s="74">
        <f t="shared" si="73"/>
        <v>0</v>
      </c>
    </row>
    <row r="146" spans="1:19" s="39" customFormat="1" ht="12.75" hidden="1">
      <c r="A146" s="71">
        <v>6</v>
      </c>
      <c r="B146" s="70"/>
      <c r="C146" s="71" t="s">
        <v>52</v>
      </c>
      <c r="D146" s="72" t="e">
        <f t="shared" si="66"/>
        <v>#REF!</v>
      </c>
      <c r="E146" s="71"/>
      <c r="F146" s="71">
        <f t="shared" si="67"/>
        <v>0</v>
      </c>
      <c r="G146" s="71">
        <v>7570</v>
      </c>
      <c r="H146" s="73">
        <f t="shared" si="74"/>
        <v>0</v>
      </c>
      <c r="I146" s="73"/>
      <c r="J146" s="71"/>
      <c r="K146" s="74">
        <f t="shared" si="68"/>
        <v>0</v>
      </c>
      <c r="L146" s="71">
        <f t="shared" si="65"/>
        <v>1800</v>
      </c>
      <c r="M146" s="71">
        <f t="shared" si="69"/>
        <v>0</v>
      </c>
      <c r="N146" s="71"/>
      <c r="O146" s="71"/>
      <c r="P146" s="75">
        <f t="shared" si="70"/>
        <v>0</v>
      </c>
      <c r="Q146" s="74">
        <f t="shared" si="71"/>
        <v>0</v>
      </c>
      <c r="R146" s="74">
        <f t="shared" si="72"/>
        <v>0</v>
      </c>
      <c r="S146" s="74">
        <f t="shared" si="73"/>
        <v>0</v>
      </c>
    </row>
    <row r="147" spans="1:19" s="39" customFormat="1" ht="12.75" hidden="1">
      <c r="A147" s="71">
        <v>7</v>
      </c>
      <c r="B147" s="70"/>
      <c r="C147" s="71" t="s">
        <v>52</v>
      </c>
      <c r="D147" s="72" t="e">
        <f t="shared" si="66"/>
        <v>#REF!</v>
      </c>
      <c r="E147" s="71"/>
      <c r="F147" s="71">
        <f t="shared" si="67"/>
        <v>0</v>
      </c>
      <c r="G147" s="71">
        <v>7570</v>
      </c>
      <c r="H147" s="73">
        <f t="shared" si="74"/>
        <v>0</v>
      </c>
      <c r="I147" s="73"/>
      <c r="J147" s="71"/>
      <c r="K147" s="74">
        <f t="shared" si="68"/>
        <v>0</v>
      </c>
      <c r="L147" s="71">
        <f t="shared" si="65"/>
        <v>1800</v>
      </c>
      <c r="M147" s="71">
        <f t="shared" si="69"/>
        <v>0</v>
      </c>
      <c r="N147" s="71"/>
      <c r="O147" s="71"/>
      <c r="P147" s="75">
        <f t="shared" si="70"/>
        <v>0</v>
      </c>
      <c r="Q147" s="74">
        <f t="shared" si="71"/>
        <v>0</v>
      </c>
      <c r="R147" s="74">
        <f t="shared" si="72"/>
        <v>0</v>
      </c>
      <c r="S147" s="74">
        <f t="shared" si="73"/>
        <v>0</v>
      </c>
    </row>
    <row r="148" spans="1:19" s="39" customFormat="1" ht="12.75" hidden="1">
      <c r="A148" s="71">
        <v>8</v>
      </c>
      <c r="B148" s="70"/>
      <c r="C148" s="71" t="s">
        <v>52</v>
      </c>
      <c r="D148" s="72" t="e">
        <f t="shared" si="66"/>
        <v>#REF!</v>
      </c>
      <c r="E148" s="71"/>
      <c r="F148" s="71">
        <f t="shared" si="67"/>
        <v>0</v>
      </c>
      <c r="G148" s="71">
        <v>7570</v>
      </c>
      <c r="H148" s="73">
        <f t="shared" si="74"/>
        <v>0</v>
      </c>
      <c r="I148" s="73"/>
      <c r="J148" s="71"/>
      <c r="K148" s="74">
        <f t="shared" si="68"/>
        <v>0</v>
      </c>
      <c r="L148" s="71">
        <f t="shared" si="65"/>
        <v>1800</v>
      </c>
      <c r="M148" s="71">
        <f t="shared" si="69"/>
        <v>0</v>
      </c>
      <c r="N148" s="71"/>
      <c r="O148" s="71"/>
      <c r="P148" s="75">
        <f t="shared" si="70"/>
        <v>0</v>
      </c>
      <c r="Q148" s="74">
        <f t="shared" si="71"/>
        <v>0</v>
      </c>
      <c r="R148" s="74">
        <f t="shared" si="72"/>
        <v>0</v>
      </c>
      <c r="S148" s="74">
        <f t="shared" si="73"/>
        <v>0</v>
      </c>
    </row>
    <row r="149" spans="1:19" s="39" customFormat="1" ht="12.75" hidden="1">
      <c r="A149" s="71">
        <v>9</v>
      </c>
      <c r="B149" s="70"/>
      <c r="C149" s="71" t="s">
        <v>52</v>
      </c>
      <c r="D149" s="72" t="e">
        <f t="shared" si="66"/>
        <v>#REF!</v>
      </c>
      <c r="E149" s="71"/>
      <c r="F149" s="71">
        <f t="shared" si="67"/>
        <v>0</v>
      </c>
      <c r="G149" s="71">
        <v>7570</v>
      </c>
      <c r="H149" s="73">
        <f t="shared" si="74"/>
        <v>0</v>
      </c>
      <c r="I149" s="73"/>
      <c r="J149" s="71"/>
      <c r="K149" s="74">
        <f t="shared" si="68"/>
        <v>0</v>
      </c>
      <c r="L149" s="71">
        <f t="shared" si="65"/>
        <v>1800</v>
      </c>
      <c r="M149" s="71">
        <f t="shared" si="69"/>
        <v>0</v>
      </c>
      <c r="N149" s="71"/>
      <c r="O149" s="71"/>
      <c r="P149" s="75">
        <f t="shared" si="70"/>
        <v>0</v>
      </c>
      <c r="Q149" s="74">
        <f t="shared" si="71"/>
        <v>0</v>
      </c>
      <c r="R149" s="74">
        <f t="shared" si="72"/>
        <v>0</v>
      </c>
      <c r="S149" s="74">
        <f t="shared" si="73"/>
        <v>0</v>
      </c>
    </row>
    <row r="150" spans="1:19" s="39" customFormat="1" ht="12.75" hidden="1">
      <c r="A150" s="71">
        <v>10</v>
      </c>
      <c r="B150" s="70"/>
      <c r="C150" s="71" t="s">
        <v>52</v>
      </c>
      <c r="D150" s="72" t="e">
        <f t="shared" si="66"/>
        <v>#REF!</v>
      </c>
      <c r="E150" s="71"/>
      <c r="F150" s="71">
        <f t="shared" si="67"/>
        <v>0</v>
      </c>
      <c r="G150" s="71">
        <v>7570</v>
      </c>
      <c r="H150" s="73">
        <f t="shared" si="74"/>
        <v>0</v>
      </c>
      <c r="I150" s="73"/>
      <c r="J150" s="71"/>
      <c r="K150" s="74">
        <f t="shared" si="68"/>
        <v>0</v>
      </c>
      <c r="L150" s="71">
        <f t="shared" si="65"/>
        <v>1800</v>
      </c>
      <c r="M150" s="71">
        <f t="shared" si="69"/>
        <v>0</v>
      </c>
      <c r="N150" s="71"/>
      <c r="O150" s="71"/>
      <c r="P150" s="75">
        <f t="shared" si="70"/>
        <v>0</v>
      </c>
      <c r="Q150" s="74">
        <f t="shared" si="71"/>
        <v>0</v>
      </c>
      <c r="R150" s="74">
        <f t="shared" si="72"/>
        <v>0</v>
      </c>
      <c r="S150" s="74">
        <f t="shared" si="73"/>
        <v>0</v>
      </c>
    </row>
    <row r="151" spans="1:19" s="39" customFormat="1" ht="13.5" hidden="1" thickBot="1">
      <c r="A151" s="113"/>
      <c r="B151" s="114"/>
      <c r="C151" s="114"/>
      <c r="D151" s="114" t="s">
        <v>53</v>
      </c>
      <c r="E151" s="114"/>
      <c r="F151" s="115">
        <f>SUM(F141:F150)</f>
        <v>0</v>
      </c>
      <c r="G151" s="114"/>
      <c r="H151" s="114"/>
      <c r="I151" s="114"/>
      <c r="J151" s="114"/>
      <c r="K151" s="116"/>
      <c r="L151" s="114"/>
      <c r="M151" s="117">
        <f>SUM(M141:M150)</f>
        <v>0</v>
      </c>
      <c r="N151" s="117">
        <f>SUM(N141:N150)</f>
        <v>0</v>
      </c>
      <c r="O151" s="117">
        <f>SUM(O141:O150)</f>
        <v>0</v>
      </c>
      <c r="P151" s="114"/>
      <c r="Q151" s="115">
        <f>SUM(Q141:Q150)</f>
        <v>0</v>
      </c>
      <c r="R151" s="115">
        <f>SUM(R141:R150)</f>
        <v>0</v>
      </c>
      <c r="S151" s="115">
        <f>SUM(S141:S150)</f>
        <v>0</v>
      </c>
    </row>
    <row r="152" spans="1:19" s="39" customFormat="1" ht="12.75" hidden="1">
      <c r="A152" s="118"/>
      <c r="B152" s="92"/>
      <c r="C152" s="92"/>
      <c r="D152" s="92"/>
      <c r="E152" s="92"/>
      <c r="F152" s="93"/>
      <c r="G152" s="92"/>
      <c r="H152" s="92"/>
      <c r="I152" s="92"/>
      <c r="J152" s="92"/>
      <c r="K152" s="94"/>
      <c r="L152" s="92"/>
      <c r="M152" s="95"/>
      <c r="N152" s="95" t="e">
        <f>доходы!#REF!</f>
        <v>#REF!</v>
      </c>
      <c r="O152" s="96" t="s">
        <v>116</v>
      </c>
      <c r="P152" s="119"/>
      <c r="Q152" s="120"/>
      <c r="R152" s="121"/>
      <c r="S152" s="121"/>
    </row>
    <row r="153" spans="1:19" s="39" customFormat="1" ht="12.75" hidden="1">
      <c r="A153" s="53" t="s">
        <v>122</v>
      </c>
      <c r="B153" s="41" t="str">
        <f>доходы!B19</f>
        <v>Танцевальная студия - 2</v>
      </c>
      <c r="F153" s="40"/>
      <c r="G153" s="40"/>
      <c r="H153" s="40"/>
      <c r="I153" s="40"/>
      <c r="J153" s="40"/>
      <c r="K153" s="50"/>
      <c r="L153" s="40"/>
      <c r="M153" s="40"/>
      <c r="N153" s="40"/>
      <c r="O153" s="40"/>
      <c r="P153" s="40"/>
      <c r="Q153" s="40"/>
      <c r="R153" s="40"/>
      <c r="S153" s="40"/>
    </row>
    <row r="154" spans="1:19" s="39" customFormat="1" ht="13.5" hidden="1" thickBo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50"/>
      <c r="L154" s="40"/>
      <c r="M154" s="40"/>
      <c r="N154" s="40"/>
      <c r="O154" s="40"/>
      <c r="P154" s="40"/>
      <c r="Q154" s="40"/>
      <c r="R154" s="40"/>
      <c r="S154" s="40"/>
    </row>
    <row r="155" spans="1:19" s="39" customFormat="1" ht="51.75" hidden="1" thickBot="1">
      <c r="A155" s="54" t="s">
        <v>1</v>
      </c>
      <c r="B155" s="54" t="s">
        <v>2</v>
      </c>
      <c r="C155" s="54" t="s">
        <v>8</v>
      </c>
      <c r="D155" s="54" t="s">
        <v>3</v>
      </c>
      <c r="E155" s="54" t="s">
        <v>4</v>
      </c>
      <c r="F155" s="54" t="s">
        <v>5</v>
      </c>
      <c r="G155" s="54" t="s">
        <v>64</v>
      </c>
      <c r="H155" s="54" t="s">
        <v>117</v>
      </c>
      <c r="I155" s="54" t="s">
        <v>99</v>
      </c>
      <c r="J155" s="54" t="s">
        <v>65</v>
      </c>
      <c r="K155" s="55" t="s">
        <v>66</v>
      </c>
      <c r="L155" s="54" t="s">
        <v>67</v>
      </c>
      <c r="M155" s="54" t="s">
        <v>6</v>
      </c>
      <c r="N155" s="54" t="s">
        <v>54</v>
      </c>
      <c r="O155" s="54" t="s">
        <v>7</v>
      </c>
      <c r="P155" s="54" t="s">
        <v>48</v>
      </c>
      <c r="Q155" s="54" t="s">
        <v>49</v>
      </c>
      <c r="R155" s="54" t="s">
        <v>50</v>
      </c>
      <c r="S155" s="54" t="s">
        <v>51</v>
      </c>
    </row>
    <row r="156" spans="1:19" s="39" customFormat="1" ht="13.5" hidden="1" thickBot="1">
      <c r="A156" s="56">
        <v>1</v>
      </c>
      <c r="B156" s="57">
        <v>2</v>
      </c>
      <c r="C156" s="57">
        <v>3</v>
      </c>
      <c r="D156" s="57">
        <v>4</v>
      </c>
      <c r="E156" s="57">
        <v>5</v>
      </c>
      <c r="F156" s="57">
        <v>6</v>
      </c>
      <c r="G156" s="57">
        <v>7</v>
      </c>
      <c r="H156" s="57">
        <v>8</v>
      </c>
      <c r="I156" s="57">
        <v>9</v>
      </c>
      <c r="J156" s="57">
        <v>10</v>
      </c>
      <c r="K156" s="58">
        <v>11</v>
      </c>
      <c r="L156" s="57">
        <v>12</v>
      </c>
      <c r="M156" s="57">
        <v>13</v>
      </c>
      <c r="N156" s="57">
        <v>14</v>
      </c>
      <c r="O156" s="57">
        <v>15</v>
      </c>
      <c r="P156" s="57">
        <v>16</v>
      </c>
      <c r="Q156" s="57">
        <v>17</v>
      </c>
      <c r="R156" s="57">
        <v>18</v>
      </c>
      <c r="S156" s="59">
        <v>19</v>
      </c>
    </row>
    <row r="157" spans="1:19" s="112" customFormat="1" ht="48" customHeight="1" hidden="1" thickBot="1" thickTop="1">
      <c r="A157" s="123">
        <v>1</v>
      </c>
      <c r="B157" s="124"/>
      <c r="C157" s="62" t="s">
        <v>180</v>
      </c>
      <c r="D157" s="124" t="str">
        <f>B$153</f>
        <v>Танцевальная студия - 2</v>
      </c>
      <c r="E157" s="125"/>
      <c r="F157" s="125">
        <f aca="true" t="shared" si="75" ref="F157:F166">ROUND(O157/18/4,2)</f>
        <v>0</v>
      </c>
      <c r="G157" s="125">
        <v>7570</v>
      </c>
      <c r="H157" s="126">
        <v>0</v>
      </c>
      <c r="I157" s="126">
        <v>0</v>
      </c>
      <c r="J157" s="125">
        <v>7.09</v>
      </c>
      <c r="K157" s="127">
        <f>(G157+G157*(H157+I157))*J157</f>
        <v>53671.3</v>
      </c>
      <c r="L157" s="125">
        <f aca="true" t="shared" si="76" ref="L157:L166">18*25*4</f>
        <v>1800</v>
      </c>
      <c r="M157" s="125">
        <f>N157*O157</f>
        <v>0</v>
      </c>
      <c r="N157" s="125"/>
      <c r="O157" s="125"/>
      <c r="P157" s="128">
        <f>ROUND(K157/L157,2)</f>
        <v>29.82</v>
      </c>
      <c r="Q157" s="127">
        <f>N157*O157*P157</f>
        <v>0</v>
      </c>
      <c r="R157" s="127">
        <f>Q157*0.15</f>
        <v>0</v>
      </c>
      <c r="S157" s="129">
        <f>Q157+R157</f>
        <v>0</v>
      </c>
    </row>
    <row r="158" spans="1:19" s="39" customFormat="1" ht="12.75" hidden="1">
      <c r="A158" s="130">
        <v>2</v>
      </c>
      <c r="B158" s="131"/>
      <c r="C158" s="130" t="s">
        <v>52</v>
      </c>
      <c r="D158" s="132" t="str">
        <f aca="true" t="shared" si="77" ref="D158:D166">B$153</f>
        <v>Танцевальная студия - 2</v>
      </c>
      <c r="E158" s="130"/>
      <c r="F158" s="130">
        <f t="shared" si="75"/>
        <v>0</v>
      </c>
      <c r="G158" s="130">
        <v>7570</v>
      </c>
      <c r="H158" s="133">
        <f>H$24</f>
        <v>0</v>
      </c>
      <c r="I158" s="133">
        <v>0</v>
      </c>
      <c r="J158" s="130"/>
      <c r="K158" s="134">
        <f aca="true" t="shared" si="78" ref="K158:K166">(G158+G158*(H158+I158))*J158</f>
        <v>0</v>
      </c>
      <c r="L158" s="130">
        <f t="shared" si="76"/>
        <v>1800</v>
      </c>
      <c r="M158" s="130">
        <f aca="true" t="shared" si="79" ref="M158:M166">N158*O158</f>
        <v>0</v>
      </c>
      <c r="N158" s="130"/>
      <c r="O158" s="130"/>
      <c r="P158" s="135">
        <f aca="true" t="shared" si="80" ref="P158:P166">ROUND(K158/L158,2)</f>
        <v>0</v>
      </c>
      <c r="Q158" s="134">
        <f aca="true" t="shared" si="81" ref="Q158:Q166">N158*O158*P158</f>
        <v>0</v>
      </c>
      <c r="R158" s="134">
        <f aca="true" t="shared" si="82" ref="R158:R166">Q158*0.15</f>
        <v>0</v>
      </c>
      <c r="S158" s="134">
        <f aca="true" t="shared" si="83" ref="S158:S166">Q158+R158</f>
        <v>0</v>
      </c>
    </row>
    <row r="159" spans="1:19" s="39" customFormat="1" ht="12.75" hidden="1">
      <c r="A159" s="71">
        <v>3</v>
      </c>
      <c r="B159" s="70"/>
      <c r="C159" s="71" t="s">
        <v>52</v>
      </c>
      <c r="D159" s="72" t="str">
        <f t="shared" si="77"/>
        <v>Танцевальная студия - 2</v>
      </c>
      <c r="E159" s="71"/>
      <c r="F159" s="71">
        <f t="shared" si="75"/>
        <v>0</v>
      </c>
      <c r="G159" s="71">
        <v>7570</v>
      </c>
      <c r="H159" s="73">
        <f aca="true" t="shared" si="84" ref="H159:H166">H$24</f>
        <v>0</v>
      </c>
      <c r="I159" s="73"/>
      <c r="J159" s="71"/>
      <c r="K159" s="74">
        <f t="shared" si="78"/>
        <v>0</v>
      </c>
      <c r="L159" s="71">
        <f t="shared" si="76"/>
        <v>1800</v>
      </c>
      <c r="M159" s="71">
        <f t="shared" si="79"/>
        <v>0</v>
      </c>
      <c r="N159" s="71"/>
      <c r="O159" s="71"/>
      <c r="P159" s="75">
        <f t="shared" si="80"/>
        <v>0</v>
      </c>
      <c r="Q159" s="74">
        <f t="shared" si="81"/>
        <v>0</v>
      </c>
      <c r="R159" s="74">
        <f t="shared" si="82"/>
        <v>0</v>
      </c>
      <c r="S159" s="74">
        <f t="shared" si="83"/>
        <v>0</v>
      </c>
    </row>
    <row r="160" spans="1:19" s="39" customFormat="1" ht="12.75" hidden="1">
      <c r="A160" s="71">
        <v>4</v>
      </c>
      <c r="B160" s="70"/>
      <c r="C160" s="71" t="s">
        <v>52</v>
      </c>
      <c r="D160" s="72" t="str">
        <f t="shared" si="77"/>
        <v>Танцевальная студия - 2</v>
      </c>
      <c r="E160" s="71"/>
      <c r="F160" s="71">
        <f t="shared" si="75"/>
        <v>0</v>
      </c>
      <c r="G160" s="71">
        <v>7570</v>
      </c>
      <c r="H160" s="73">
        <f t="shared" si="84"/>
        <v>0</v>
      </c>
      <c r="I160" s="73"/>
      <c r="J160" s="71"/>
      <c r="K160" s="74">
        <f t="shared" si="78"/>
        <v>0</v>
      </c>
      <c r="L160" s="71">
        <f t="shared" si="76"/>
        <v>1800</v>
      </c>
      <c r="M160" s="71">
        <f t="shared" si="79"/>
        <v>0</v>
      </c>
      <c r="N160" s="71"/>
      <c r="O160" s="71"/>
      <c r="P160" s="75">
        <f t="shared" si="80"/>
        <v>0</v>
      </c>
      <c r="Q160" s="74">
        <f t="shared" si="81"/>
        <v>0</v>
      </c>
      <c r="R160" s="74">
        <f t="shared" si="82"/>
        <v>0</v>
      </c>
      <c r="S160" s="74">
        <f t="shared" si="83"/>
        <v>0</v>
      </c>
    </row>
    <row r="161" spans="1:19" s="39" customFormat="1" ht="12.75" hidden="1">
      <c r="A161" s="71">
        <v>5</v>
      </c>
      <c r="B161" s="70"/>
      <c r="C161" s="71" t="s">
        <v>52</v>
      </c>
      <c r="D161" s="72" t="str">
        <f t="shared" si="77"/>
        <v>Танцевальная студия - 2</v>
      </c>
      <c r="E161" s="71"/>
      <c r="F161" s="71">
        <f t="shared" si="75"/>
        <v>0</v>
      </c>
      <c r="G161" s="71">
        <v>7570</v>
      </c>
      <c r="H161" s="73">
        <f t="shared" si="84"/>
        <v>0</v>
      </c>
      <c r="I161" s="73"/>
      <c r="J161" s="71"/>
      <c r="K161" s="74">
        <f t="shared" si="78"/>
        <v>0</v>
      </c>
      <c r="L161" s="71">
        <f t="shared" si="76"/>
        <v>1800</v>
      </c>
      <c r="M161" s="71">
        <f t="shared" si="79"/>
        <v>0</v>
      </c>
      <c r="N161" s="71"/>
      <c r="O161" s="71"/>
      <c r="P161" s="75">
        <f t="shared" si="80"/>
        <v>0</v>
      </c>
      <c r="Q161" s="74">
        <f t="shared" si="81"/>
        <v>0</v>
      </c>
      <c r="R161" s="74">
        <f t="shared" si="82"/>
        <v>0</v>
      </c>
      <c r="S161" s="74">
        <f t="shared" si="83"/>
        <v>0</v>
      </c>
    </row>
    <row r="162" spans="1:19" s="39" customFormat="1" ht="12.75" hidden="1">
      <c r="A162" s="71">
        <v>6</v>
      </c>
      <c r="B162" s="70"/>
      <c r="C162" s="71" t="s">
        <v>52</v>
      </c>
      <c r="D162" s="72" t="str">
        <f t="shared" si="77"/>
        <v>Танцевальная студия - 2</v>
      </c>
      <c r="E162" s="71"/>
      <c r="F162" s="71">
        <f t="shared" si="75"/>
        <v>0</v>
      </c>
      <c r="G162" s="71">
        <v>7570</v>
      </c>
      <c r="H162" s="73">
        <f t="shared" si="84"/>
        <v>0</v>
      </c>
      <c r="I162" s="73"/>
      <c r="J162" s="71"/>
      <c r="K162" s="74">
        <f t="shared" si="78"/>
        <v>0</v>
      </c>
      <c r="L162" s="71">
        <f t="shared" si="76"/>
        <v>1800</v>
      </c>
      <c r="M162" s="71">
        <f t="shared" si="79"/>
        <v>0</v>
      </c>
      <c r="N162" s="71"/>
      <c r="O162" s="71"/>
      <c r="P162" s="75">
        <f t="shared" si="80"/>
        <v>0</v>
      </c>
      <c r="Q162" s="74">
        <f t="shared" si="81"/>
        <v>0</v>
      </c>
      <c r="R162" s="74">
        <f t="shared" si="82"/>
        <v>0</v>
      </c>
      <c r="S162" s="74">
        <f t="shared" si="83"/>
        <v>0</v>
      </c>
    </row>
    <row r="163" spans="1:19" s="39" customFormat="1" ht="12.75" hidden="1">
      <c r="A163" s="71">
        <v>7</v>
      </c>
      <c r="B163" s="70"/>
      <c r="C163" s="71" t="s">
        <v>52</v>
      </c>
      <c r="D163" s="72" t="str">
        <f t="shared" si="77"/>
        <v>Танцевальная студия - 2</v>
      </c>
      <c r="E163" s="71"/>
      <c r="F163" s="71">
        <f t="shared" si="75"/>
        <v>0</v>
      </c>
      <c r="G163" s="71">
        <v>7570</v>
      </c>
      <c r="H163" s="73">
        <f t="shared" si="84"/>
        <v>0</v>
      </c>
      <c r="I163" s="73"/>
      <c r="J163" s="71"/>
      <c r="K163" s="74">
        <f t="shared" si="78"/>
        <v>0</v>
      </c>
      <c r="L163" s="71">
        <f t="shared" si="76"/>
        <v>1800</v>
      </c>
      <c r="M163" s="71">
        <f t="shared" si="79"/>
        <v>0</v>
      </c>
      <c r="N163" s="71"/>
      <c r="O163" s="71"/>
      <c r="P163" s="75">
        <f t="shared" si="80"/>
        <v>0</v>
      </c>
      <c r="Q163" s="74">
        <f t="shared" si="81"/>
        <v>0</v>
      </c>
      <c r="R163" s="74">
        <f t="shared" si="82"/>
        <v>0</v>
      </c>
      <c r="S163" s="74">
        <f t="shared" si="83"/>
        <v>0</v>
      </c>
    </row>
    <row r="164" spans="1:19" s="39" customFormat="1" ht="12.75" hidden="1">
      <c r="A164" s="71">
        <v>8</v>
      </c>
      <c r="B164" s="70"/>
      <c r="C164" s="71" t="s">
        <v>52</v>
      </c>
      <c r="D164" s="72" t="str">
        <f t="shared" si="77"/>
        <v>Танцевальная студия - 2</v>
      </c>
      <c r="E164" s="71"/>
      <c r="F164" s="71">
        <f t="shared" si="75"/>
        <v>0</v>
      </c>
      <c r="G164" s="71">
        <v>7570</v>
      </c>
      <c r="H164" s="73">
        <f t="shared" si="84"/>
        <v>0</v>
      </c>
      <c r="I164" s="73"/>
      <c r="J164" s="71"/>
      <c r="K164" s="74">
        <f t="shared" si="78"/>
        <v>0</v>
      </c>
      <c r="L164" s="71">
        <f t="shared" si="76"/>
        <v>1800</v>
      </c>
      <c r="M164" s="71">
        <f t="shared" si="79"/>
        <v>0</v>
      </c>
      <c r="N164" s="71"/>
      <c r="O164" s="71"/>
      <c r="P164" s="75">
        <f t="shared" si="80"/>
        <v>0</v>
      </c>
      <c r="Q164" s="74">
        <f t="shared" si="81"/>
        <v>0</v>
      </c>
      <c r="R164" s="74">
        <f t="shared" si="82"/>
        <v>0</v>
      </c>
      <c r="S164" s="74">
        <f t="shared" si="83"/>
        <v>0</v>
      </c>
    </row>
    <row r="165" spans="1:19" s="39" customFormat="1" ht="12.75" hidden="1">
      <c r="A165" s="71">
        <v>9</v>
      </c>
      <c r="B165" s="70"/>
      <c r="C165" s="71" t="s">
        <v>52</v>
      </c>
      <c r="D165" s="72" t="str">
        <f t="shared" si="77"/>
        <v>Танцевальная студия - 2</v>
      </c>
      <c r="E165" s="71"/>
      <c r="F165" s="71">
        <f t="shared" si="75"/>
        <v>0</v>
      </c>
      <c r="G165" s="71">
        <v>7570</v>
      </c>
      <c r="H165" s="73">
        <f t="shared" si="84"/>
        <v>0</v>
      </c>
      <c r="I165" s="73"/>
      <c r="J165" s="71"/>
      <c r="K165" s="74">
        <f t="shared" si="78"/>
        <v>0</v>
      </c>
      <c r="L165" s="71">
        <f t="shared" si="76"/>
        <v>1800</v>
      </c>
      <c r="M165" s="71">
        <f t="shared" si="79"/>
        <v>0</v>
      </c>
      <c r="N165" s="71"/>
      <c r="O165" s="71"/>
      <c r="P165" s="75">
        <f t="shared" si="80"/>
        <v>0</v>
      </c>
      <c r="Q165" s="74">
        <f t="shared" si="81"/>
        <v>0</v>
      </c>
      <c r="R165" s="74">
        <f t="shared" si="82"/>
        <v>0</v>
      </c>
      <c r="S165" s="74">
        <f t="shared" si="83"/>
        <v>0</v>
      </c>
    </row>
    <row r="166" spans="1:19" s="39" customFormat="1" ht="13.5" hidden="1" thickBot="1">
      <c r="A166" s="79">
        <v>10</v>
      </c>
      <c r="B166" s="78"/>
      <c r="C166" s="79" t="s">
        <v>52</v>
      </c>
      <c r="D166" s="80" t="str">
        <f t="shared" si="77"/>
        <v>Танцевальная студия - 2</v>
      </c>
      <c r="E166" s="79"/>
      <c r="F166" s="79">
        <f t="shared" si="75"/>
        <v>0</v>
      </c>
      <c r="G166" s="79">
        <v>7570</v>
      </c>
      <c r="H166" s="81">
        <f t="shared" si="84"/>
        <v>0</v>
      </c>
      <c r="I166" s="81"/>
      <c r="J166" s="79"/>
      <c r="K166" s="82">
        <f t="shared" si="78"/>
        <v>0</v>
      </c>
      <c r="L166" s="79">
        <f t="shared" si="76"/>
        <v>1800</v>
      </c>
      <c r="M166" s="79">
        <f t="shared" si="79"/>
        <v>0</v>
      </c>
      <c r="N166" s="79"/>
      <c r="O166" s="79"/>
      <c r="P166" s="83">
        <f t="shared" si="80"/>
        <v>0</v>
      </c>
      <c r="Q166" s="82">
        <f t="shared" si="81"/>
        <v>0</v>
      </c>
      <c r="R166" s="82">
        <f t="shared" si="82"/>
        <v>0</v>
      </c>
      <c r="S166" s="82">
        <f t="shared" si="83"/>
        <v>0</v>
      </c>
    </row>
    <row r="167" spans="1:19" s="39" customFormat="1" ht="13.5" hidden="1" thickBot="1">
      <c r="A167" s="85"/>
      <c r="B167" s="86"/>
      <c r="C167" s="86"/>
      <c r="D167" s="86" t="s">
        <v>53</v>
      </c>
      <c r="E167" s="86"/>
      <c r="F167" s="87">
        <f>SUM(F157:F166)</f>
        <v>0</v>
      </c>
      <c r="G167" s="86"/>
      <c r="H167" s="86"/>
      <c r="I167" s="86"/>
      <c r="J167" s="86"/>
      <c r="K167" s="88"/>
      <c r="L167" s="86"/>
      <c r="M167" s="89">
        <f>SUM(M157:M166)</f>
        <v>0</v>
      </c>
      <c r="N167" s="89">
        <f>SUM(N157:N166)</f>
        <v>0</v>
      </c>
      <c r="O167" s="89">
        <f>SUM(O157:O166)</f>
        <v>0</v>
      </c>
      <c r="P167" s="86"/>
      <c r="Q167" s="87">
        <f>SUM(Q157:Q166)</f>
        <v>0</v>
      </c>
      <c r="R167" s="87">
        <f>SUM(R157:R166)</f>
        <v>0</v>
      </c>
      <c r="S167" s="90">
        <f>SUM(S157:S166)</f>
        <v>0</v>
      </c>
    </row>
    <row r="168" spans="1:19" s="39" customFormat="1" ht="12.75" hidden="1">
      <c r="A168" s="118"/>
      <c r="B168" s="92"/>
      <c r="C168" s="92"/>
      <c r="D168" s="92"/>
      <c r="E168" s="92"/>
      <c r="F168" s="93"/>
      <c r="G168" s="92"/>
      <c r="H168" s="92"/>
      <c r="I168" s="92"/>
      <c r="J168" s="92"/>
      <c r="K168" s="94"/>
      <c r="L168" s="92"/>
      <c r="M168" s="95"/>
      <c r="N168" s="95">
        <f>доходы!C19</f>
        <v>8</v>
      </c>
      <c r="O168" s="96" t="s">
        <v>116</v>
      </c>
      <c r="P168" s="92"/>
      <c r="Q168" s="97"/>
      <c r="R168" s="98"/>
      <c r="S168" s="122"/>
    </row>
    <row r="169" spans="1:19" s="39" customFormat="1" ht="12.75" hidden="1">
      <c r="A169" s="53" t="s">
        <v>123</v>
      </c>
      <c r="B169" s="41" t="e">
        <f>доходы!#REF!</f>
        <v>#REF!</v>
      </c>
      <c r="F169" s="40"/>
      <c r="G169" s="40"/>
      <c r="H169" s="40"/>
      <c r="I169" s="40"/>
      <c r="J169" s="40"/>
      <c r="K169" s="50"/>
      <c r="L169" s="40"/>
      <c r="M169" s="40"/>
      <c r="N169" s="40"/>
      <c r="O169" s="40"/>
      <c r="P169" s="40"/>
      <c r="Q169" s="40"/>
      <c r="R169" s="40"/>
      <c r="S169" s="40"/>
    </row>
    <row r="170" spans="1:19" s="39" customFormat="1" ht="13.5" hidden="1" thickBo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50"/>
      <c r="L170" s="40"/>
      <c r="M170" s="40"/>
      <c r="N170" s="40"/>
      <c r="O170" s="40"/>
      <c r="P170" s="40"/>
      <c r="Q170" s="40"/>
      <c r="R170" s="40"/>
      <c r="S170" s="40"/>
    </row>
    <row r="171" spans="1:19" s="39" customFormat="1" ht="51.75" hidden="1" thickBot="1">
      <c r="A171" s="54" t="s">
        <v>1</v>
      </c>
      <c r="B171" s="54" t="s">
        <v>2</v>
      </c>
      <c r="C171" s="54" t="s">
        <v>8</v>
      </c>
      <c r="D171" s="54" t="s">
        <v>3</v>
      </c>
      <c r="E171" s="54" t="s">
        <v>4</v>
      </c>
      <c r="F171" s="54" t="s">
        <v>5</v>
      </c>
      <c r="G171" s="54" t="s">
        <v>64</v>
      </c>
      <c r="H171" s="54" t="s">
        <v>117</v>
      </c>
      <c r="I171" s="54" t="s">
        <v>99</v>
      </c>
      <c r="J171" s="54" t="s">
        <v>65</v>
      </c>
      <c r="K171" s="55" t="s">
        <v>66</v>
      </c>
      <c r="L171" s="54" t="s">
        <v>67</v>
      </c>
      <c r="M171" s="54" t="s">
        <v>6</v>
      </c>
      <c r="N171" s="54" t="s">
        <v>54</v>
      </c>
      <c r="O171" s="54" t="s">
        <v>7</v>
      </c>
      <c r="P171" s="54" t="s">
        <v>48</v>
      </c>
      <c r="Q171" s="54" t="s">
        <v>49</v>
      </c>
      <c r="R171" s="54" t="s">
        <v>50</v>
      </c>
      <c r="S171" s="54" t="s">
        <v>51</v>
      </c>
    </row>
    <row r="172" spans="1:19" s="39" customFormat="1" ht="13.5" hidden="1" thickBot="1">
      <c r="A172" s="56">
        <v>1</v>
      </c>
      <c r="B172" s="57">
        <v>2</v>
      </c>
      <c r="C172" s="57">
        <v>3</v>
      </c>
      <c r="D172" s="57">
        <v>4</v>
      </c>
      <c r="E172" s="57">
        <v>5</v>
      </c>
      <c r="F172" s="57">
        <v>6</v>
      </c>
      <c r="G172" s="57">
        <v>7</v>
      </c>
      <c r="H172" s="57">
        <v>8</v>
      </c>
      <c r="I172" s="57">
        <v>9</v>
      </c>
      <c r="J172" s="57">
        <v>10</v>
      </c>
      <c r="K172" s="58">
        <v>11</v>
      </c>
      <c r="L172" s="57">
        <v>12</v>
      </c>
      <c r="M172" s="57">
        <v>13</v>
      </c>
      <c r="N172" s="57">
        <v>14</v>
      </c>
      <c r="O172" s="57">
        <v>15</v>
      </c>
      <c r="P172" s="57">
        <v>16</v>
      </c>
      <c r="Q172" s="57">
        <v>17</v>
      </c>
      <c r="R172" s="57">
        <v>18</v>
      </c>
      <c r="S172" s="59">
        <v>19</v>
      </c>
    </row>
    <row r="173" spans="1:19" s="112" customFormat="1" ht="43.5" customHeight="1" hidden="1" thickBot="1" thickTop="1">
      <c r="A173" s="123">
        <v>1</v>
      </c>
      <c r="B173" s="124"/>
      <c r="C173" s="62" t="s">
        <v>180</v>
      </c>
      <c r="D173" s="124" t="e">
        <f>B$169</f>
        <v>#REF!</v>
      </c>
      <c r="E173" s="125"/>
      <c r="F173" s="125">
        <f aca="true" t="shared" si="85" ref="F173:F182">ROUND(O173/18/4,2)</f>
        <v>0</v>
      </c>
      <c r="G173" s="125">
        <v>7570</v>
      </c>
      <c r="H173" s="126">
        <v>0</v>
      </c>
      <c r="I173" s="126">
        <v>0</v>
      </c>
      <c r="J173" s="125"/>
      <c r="K173" s="127">
        <f>(G173+G173*(H173+I173))*J173</f>
        <v>0</v>
      </c>
      <c r="L173" s="125">
        <f aca="true" t="shared" si="86" ref="L173:L182">18*25*4</f>
        <v>1800</v>
      </c>
      <c r="M173" s="125">
        <f>N173*O173</f>
        <v>0</v>
      </c>
      <c r="N173" s="125"/>
      <c r="O173" s="125"/>
      <c r="P173" s="128">
        <f>ROUND(K173/L173,2)</f>
        <v>0</v>
      </c>
      <c r="Q173" s="127">
        <f>N173*O173*P173</f>
        <v>0</v>
      </c>
      <c r="R173" s="127">
        <f>Q173*0.15</f>
        <v>0</v>
      </c>
      <c r="S173" s="129">
        <f>Q173+R173</f>
        <v>0</v>
      </c>
    </row>
    <row r="174" spans="1:19" s="39" customFormat="1" ht="12.75" hidden="1">
      <c r="A174" s="130">
        <v>2</v>
      </c>
      <c r="B174" s="131"/>
      <c r="C174" s="130" t="s">
        <v>52</v>
      </c>
      <c r="D174" s="132" t="e">
        <f aca="true" t="shared" si="87" ref="D174:D182">B$169</f>
        <v>#REF!</v>
      </c>
      <c r="E174" s="130"/>
      <c r="F174" s="130">
        <f t="shared" si="85"/>
        <v>0</v>
      </c>
      <c r="G174" s="130">
        <v>7570</v>
      </c>
      <c r="H174" s="133">
        <f>H$24</f>
        <v>0</v>
      </c>
      <c r="I174" s="133">
        <v>0</v>
      </c>
      <c r="J174" s="130"/>
      <c r="K174" s="134">
        <f aca="true" t="shared" si="88" ref="K174:K182">(G174+G174*(H174+I174))*J174</f>
        <v>0</v>
      </c>
      <c r="L174" s="130">
        <f t="shared" si="86"/>
        <v>1800</v>
      </c>
      <c r="M174" s="130">
        <f aca="true" t="shared" si="89" ref="M174:M182">N174*O174</f>
        <v>0</v>
      </c>
      <c r="N174" s="130"/>
      <c r="O174" s="130"/>
      <c r="P174" s="135">
        <f aca="true" t="shared" si="90" ref="P174:P182">ROUND(K174/L174,2)</f>
        <v>0</v>
      </c>
      <c r="Q174" s="134">
        <f aca="true" t="shared" si="91" ref="Q174:Q182">N174*O174*P174</f>
        <v>0</v>
      </c>
      <c r="R174" s="134">
        <f aca="true" t="shared" si="92" ref="R174:R182">Q174*0.15</f>
        <v>0</v>
      </c>
      <c r="S174" s="134">
        <f aca="true" t="shared" si="93" ref="S174:S182">Q174+R174</f>
        <v>0</v>
      </c>
    </row>
    <row r="175" spans="1:19" s="39" customFormat="1" ht="12.75" hidden="1">
      <c r="A175" s="71">
        <v>3</v>
      </c>
      <c r="B175" s="70"/>
      <c r="C175" s="71" t="s">
        <v>52</v>
      </c>
      <c r="D175" s="72" t="e">
        <f t="shared" si="87"/>
        <v>#REF!</v>
      </c>
      <c r="E175" s="71"/>
      <c r="F175" s="71">
        <f t="shared" si="85"/>
        <v>0</v>
      </c>
      <c r="G175" s="71">
        <v>7570</v>
      </c>
      <c r="H175" s="73">
        <f aca="true" t="shared" si="94" ref="H175:H182">H$24</f>
        <v>0</v>
      </c>
      <c r="I175" s="73"/>
      <c r="J175" s="71"/>
      <c r="K175" s="74">
        <f t="shared" si="88"/>
        <v>0</v>
      </c>
      <c r="L175" s="71">
        <f t="shared" si="86"/>
        <v>1800</v>
      </c>
      <c r="M175" s="71">
        <f t="shared" si="89"/>
        <v>0</v>
      </c>
      <c r="N175" s="71"/>
      <c r="O175" s="71"/>
      <c r="P175" s="75">
        <f t="shared" si="90"/>
        <v>0</v>
      </c>
      <c r="Q175" s="74">
        <f t="shared" si="91"/>
        <v>0</v>
      </c>
      <c r="R175" s="74">
        <f t="shared" si="92"/>
        <v>0</v>
      </c>
      <c r="S175" s="74">
        <f t="shared" si="93"/>
        <v>0</v>
      </c>
    </row>
    <row r="176" spans="1:19" s="39" customFormat="1" ht="12.75" hidden="1">
      <c r="A176" s="71">
        <v>4</v>
      </c>
      <c r="B176" s="70"/>
      <c r="C176" s="71" t="s">
        <v>52</v>
      </c>
      <c r="D176" s="72" t="e">
        <f t="shared" si="87"/>
        <v>#REF!</v>
      </c>
      <c r="E176" s="71"/>
      <c r="F176" s="71">
        <f t="shared" si="85"/>
        <v>0</v>
      </c>
      <c r="G176" s="71">
        <v>7570</v>
      </c>
      <c r="H176" s="73">
        <f t="shared" si="94"/>
        <v>0</v>
      </c>
      <c r="I176" s="73"/>
      <c r="J176" s="71"/>
      <c r="K176" s="74">
        <f t="shared" si="88"/>
        <v>0</v>
      </c>
      <c r="L176" s="71">
        <f t="shared" si="86"/>
        <v>1800</v>
      </c>
      <c r="M176" s="71">
        <f t="shared" si="89"/>
        <v>0</v>
      </c>
      <c r="N176" s="71"/>
      <c r="O176" s="71"/>
      <c r="P176" s="75">
        <f t="shared" si="90"/>
        <v>0</v>
      </c>
      <c r="Q176" s="74">
        <f t="shared" si="91"/>
        <v>0</v>
      </c>
      <c r="R176" s="74">
        <f t="shared" si="92"/>
        <v>0</v>
      </c>
      <c r="S176" s="74">
        <f t="shared" si="93"/>
        <v>0</v>
      </c>
    </row>
    <row r="177" spans="1:19" s="39" customFormat="1" ht="12.75" hidden="1">
      <c r="A177" s="71">
        <v>5</v>
      </c>
      <c r="B177" s="70"/>
      <c r="C177" s="71" t="s">
        <v>52</v>
      </c>
      <c r="D177" s="72" t="e">
        <f t="shared" si="87"/>
        <v>#REF!</v>
      </c>
      <c r="E177" s="71"/>
      <c r="F177" s="71">
        <f t="shared" si="85"/>
        <v>0</v>
      </c>
      <c r="G177" s="71">
        <v>7570</v>
      </c>
      <c r="H177" s="73">
        <f t="shared" si="94"/>
        <v>0</v>
      </c>
      <c r="I177" s="73"/>
      <c r="J177" s="71"/>
      <c r="K177" s="74">
        <f t="shared" si="88"/>
        <v>0</v>
      </c>
      <c r="L177" s="71">
        <f t="shared" si="86"/>
        <v>1800</v>
      </c>
      <c r="M177" s="71">
        <f t="shared" si="89"/>
        <v>0</v>
      </c>
      <c r="N177" s="71"/>
      <c r="O177" s="71"/>
      <c r="P177" s="75">
        <f t="shared" si="90"/>
        <v>0</v>
      </c>
      <c r="Q177" s="74">
        <f t="shared" si="91"/>
        <v>0</v>
      </c>
      <c r="R177" s="74">
        <f t="shared" si="92"/>
        <v>0</v>
      </c>
      <c r="S177" s="74">
        <f t="shared" si="93"/>
        <v>0</v>
      </c>
    </row>
    <row r="178" spans="1:19" s="39" customFormat="1" ht="12.75" hidden="1">
      <c r="A178" s="71">
        <v>6</v>
      </c>
      <c r="B178" s="70"/>
      <c r="C178" s="71" t="s">
        <v>52</v>
      </c>
      <c r="D178" s="72" t="e">
        <f t="shared" si="87"/>
        <v>#REF!</v>
      </c>
      <c r="E178" s="71"/>
      <c r="F178" s="71">
        <f t="shared" si="85"/>
        <v>0</v>
      </c>
      <c r="G178" s="71">
        <v>7570</v>
      </c>
      <c r="H178" s="73">
        <f t="shared" si="94"/>
        <v>0</v>
      </c>
      <c r="I178" s="73"/>
      <c r="J178" s="71"/>
      <c r="K178" s="74">
        <f t="shared" si="88"/>
        <v>0</v>
      </c>
      <c r="L178" s="71">
        <f t="shared" si="86"/>
        <v>1800</v>
      </c>
      <c r="M178" s="71">
        <f t="shared" si="89"/>
        <v>0</v>
      </c>
      <c r="N178" s="71"/>
      <c r="O178" s="71"/>
      <c r="P178" s="75">
        <f t="shared" si="90"/>
        <v>0</v>
      </c>
      <c r="Q178" s="74">
        <f t="shared" si="91"/>
        <v>0</v>
      </c>
      <c r="R178" s="74">
        <f t="shared" si="92"/>
        <v>0</v>
      </c>
      <c r="S178" s="74">
        <f t="shared" si="93"/>
        <v>0</v>
      </c>
    </row>
    <row r="179" spans="1:19" s="39" customFormat="1" ht="12.75" hidden="1">
      <c r="A179" s="71">
        <v>7</v>
      </c>
      <c r="B179" s="70"/>
      <c r="C179" s="71" t="s">
        <v>52</v>
      </c>
      <c r="D179" s="72" t="e">
        <f t="shared" si="87"/>
        <v>#REF!</v>
      </c>
      <c r="E179" s="71"/>
      <c r="F179" s="71">
        <f t="shared" si="85"/>
        <v>0</v>
      </c>
      <c r="G179" s="71">
        <v>7570</v>
      </c>
      <c r="H179" s="73">
        <f t="shared" si="94"/>
        <v>0</v>
      </c>
      <c r="I179" s="73"/>
      <c r="J179" s="71"/>
      <c r="K179" s="74">
        <f t="shared" si="88"/>
        <v>0</v>
      </c>
      <c r="L179" s="71">
        <f t="shared" si="86"/>
        <v>1800</v>
      </c>
      <c r="M179" s="71">
        <f t="shared" si="89"/>
        <v>0</v>
      </c>
      <c r="N179" s="71"/>
      <c r="O179" s="71"/>
      <c r="P179" s="75">
        <f t="shared" si="90"/>
        <v>0</v>
      </c>
      <c r="Q179" s="74">
        <f t="shared" si="91"/>
        <v>0</v>
      </c>
      <c r="R179" s="74">
        <f t="shared" si="92"/>
        <v>0</v>
      </c>
      <c r="S179" s="74">
        <f t="shared" si="93"/>
        <v>0</v>
      </c>
    </row>
    <row r="180" spans="1:19" s="39" customFormat="1" ht="12.75" hidden="1">
      <c r="A180" s="71">
        <v>8</v>
      </c>
      <c r="B180" s="70"/>
      <c r="C180" s="71" t="s">
        <v>52</v>
      </c>
      <c r="D180" s="72" t="e">
        <f t="shared" si="87"/>
        <v>#REF!</v>
      </c>
      <c r="E180" s="71"/>
      <c r="F180" s="71">
        <f t="shared" si="85"/>
        <v>0</v>
      </c>
      <c r="G180" s="71">
        <v>7570</v>
      </c>
      <c r="H180" s="73">
        <f t="shared" si="94"/>
        <v>0</v>
      </c>
      <c r="I180" s="73"/>
      <c r="J180" s="71"/>
      <c r="K180" s="74">
        <f t="shared" si="88"/>
        <v>0</v>
      </c>
      <c r="L180" s="71">
        <f t="shared" si="86"/>
        <v>1800</v>
      </c>
      <c r="M180" s="71">
        <f t="shared" si="89"/>
        <v>0</v>
      </c>
      <c r="N180" s="71"/>
      <c r="O180" s="71"/>
      <c r="P180" s="75">
        <f t="shared" si="90"/>
        <v>0</v>
      </c>
      <c r="Q180" s="74">
        <f t="shared" si="91"/>
        <v>0</v>
      </c>
      <c r="R180" s="74">
        <f t="shared" si="92"/>
        <v>0</v>
      </c>
      <c r="S180" s="74">
        <f t="shared" si="93"/>
        <v>0</v>
      </c>
    </row>
    <row r="181" spans="1:19" s="39" customFormat="1" ht="12.75" hidden="1">
      <c r="A181" s="71">
        <v>9</v>
      </c>
      <c r="B181" s="70"/>
      <c r="C181" s="71" t="s">
        <v>52</v>
      </c>
      <c r="D181" s="72" t="e">
        <f t="shared" si="87"/>
        <v>#REF!</v>
      </c>
      <c r="E181" s="71"/>
      <c r="F181" s="71">
        <f t="shared" si="85"/>
        <v>0</v>
      </c>
      <c r="G181" s="71">
        <v>7570</v>
      </c>
      <c r="H181" s="73">
        <f t="shared" si="94"/>
        <v>0</v>
      </c>
      <c r="I181" s="73"/>
      <c r="J181" s="71"/>
      <c r="K181" s="74">
        <f t="shared" si="88"/>
        <v>0</v>
      </c>
      <c r="L181" s="71">
        <f t="shared" si="86"/>
        <v>1800</v>
      </c>
      <c r="M181" s="71">
        <f t="shared" si="89"/>
        <v>0</v>
      </c>
      <c r="N181" s="71"/>
      <c r="O181" s="71"/>
      <c r="P181" s="75">
        <f t="shared" si="90"/>
        <v>0</v>
      </c>
      <c r="Q181" s="74">
        <f t="shared" si="91"/>
        <v>0</v>
      </c>
      <c r="R181" s="74">
        <f t="shared" si="92"/>
        <v>0</v>
      </c>
      <c r="S181" s="74">
        <f t="shared" si="93"/>
        <v>0</v>
      </c>
    </row>
    <row r="182" spans="1:19" s="39" customFormat="1" ht="13.5" hidden="1" thickBot="1">
      <c r="A182" s="79">
        <v>10</v>
      </c>
      <c r="B182" s="78"/>
      <c r="C182" s="79" t="s">
        <v>52</v>
      </c>
      <c r="D182" s="80" t="e">
        <f t="shared" si="87"/>
        <v>#REF!</v>
      </c>
      <c r="E182" s="79"/>
      <c r="F182" s="79">
        <f t="shared" si="85"/>
        <v>0</v>
      </c>
      <c r="G182" s="79">
        <v>7570</v>
      </c>
      <c r="H182" s="81">
        <f t="shared" si="94"/>
        <v>0</v>
      </c>
      <c r="I182" s="81"/>
      <c r="J182" s="79"/>
      <c r="K182" s="82">
        <f t="shared" si="88"/>
        <v>0</v>
      </c>
      <c r="L182" s="79">
        <f t="shared" si="86"/>
        <v>1800</v>
      </c>
      <c r="M182" s="79">
        <f t="shared" si="89"/>
        <v>0</v>
      </c>
      <c r="N182" s="79"/>
      <c r="O182" s="79"/>
      <c r="P182" s="83">
        <f t="shared" si="90"/>
        <v>0</v>
      </c>
      <c r="Q182" s="82">
        <f t="shared" si="91"/>
        <v>0</v>
      </c>
      <c r="R182" s="82">
        <f t="shared" si="92"/>
        <v>0</v>
      </c>
      <c r="S182" s="82">
        <f t="shared" si="93"/>
        <v>0</v>
      </c>
    </row>
    <row r="183" spans="1:19" s="39" customFormat="1" ht="13.5" hidden="1" thickBot="1">
      <c r="A183" s="85"/>
      <c r="B183" s="86"/>
      <c r="C183" s="86"/>
      <c r="D183" s="86" t="s">
        <v>53</v>
      </c>
      <c r="E183" s="86"/>
      <c r="F183" s="87">
        <f>SUM(F173:F182)</f>
        <v>0</v>
      </c>
      <c r="G183" s="86"/>
      <c r="H183" s="86"/>
      <c r="I183" s="86"/>
      <c r="J183" s="86"/>
      <c r="K183" s="88"/>
      <c r="L183" s="86"/>
      <c r="M183" s="89">
        <f>SUM(M173:M182)</f>
        <v>0</v>
      </c>
      <c r="N183" s="89">
        <f>SUM(N173:N182)</f>
        <v>0</v>
      </c>
      <c r="O183" s="89">
        <f>SUM(O173:O182)</f>
        <v>0</v>
      </c>
      <c r="P183" s="86"/>
      <c r="Q183" s="87">
        <f>SUM(Q173:Q182)</f>
        <v>0</v>
      </c>
      <c r="R183" s="87">
        <f>SUM(R173:R182)</f>
        <v>0</v>
      </c>
      <c r="S183" s="90">
        <f>SUM(S173:S182)</f>
        <v>0</v>
      </c>
    </row>
    <row r="184" spans="1:19" s="39" customFormat="1" ht="12.75" hidden="1">
      <c r="A184" s="118"/>
      <c r="B184" s="92"/>
      <c r="C184" s="92"/>
      <c r="D184" s="92"/>
      <c r="E184" s="92"/>
      <c r="F184" s="93"/>
      <c r="G184" s="92"/>
      <c r="H184" s="92"/>
      <c r="I184" s="92"/>
      <c r="J184" s="92"/>
      <c r="K184" s="94"/>
      <c r="L184" s="92"/>
      <c r="M184" s="95"/>
      <c r="N184" s="95" t="e">
        <f>доходы!#REF!</f>
        <v>#REF!</v>
      </c>
      <c r="O184" s="96" t="s">
        <v>116</v>
      </c>
      <c r="P184" s="92"/>
      <c r="Q184" s="97"/>
      <c r="R184" s="98"/>
      <c r="S184" s="122"/>
    </row>
    <row r="185" spans="1:19" s="39" customFormat="1" ht="12.75" hidden="1">
      <c r="A185" s="53" t="s">
        <v>124</v>
      </c>
      <c r="B185" s="41" t="e">
        <f>доходы!#REF!</f>
        <v>#REF!</v>
      </c>
      <c r="F185" s="40"/>
      <c r="G185" s="40"/>
      <c r="H185" s="40"/>
      <c r="I185" s="40"/>
      <c r="J185" s="40"/>
      <c r="K185" s="50"/>
      <c r="L185" s="40"/>
      <c r="M185" s="40"/>
      <c r="N185" s="40"/>
      <c r="O185" s="40"/>
      <c r="P185" s="40"/>
      <c r="Q185" s="40"/>
      <c r="R185" s="40"/>
      <c r="S185" s="40"/>
    </row>
    <row r="186" spans="1:19" s="39" customFormat="1" ht="13.5" hidden="1" thickBo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50"/>
      <c r="L186" s="40"/>
      <c r="M186" s="40"/>
      <c r="N186" s="40"/>
      <c r="O186" s="40"/>
      <c r="P186" s="40"/>
      <c r="Q186" s="40"/>
      <c r="R186" s="40"/>
      <c r="S186" s="40"/>
    </row>
    <row r="187" spans="1:19" s="39" customFormat="1" ht="51.75" hidden="1" thickBot="1">
      <c r="A187" s="54" t="s">
        <v>1</v>
      </c>
      <c r="B187" s="54" t="s">
        <v>2</v>
      </c>
      <c r="C187" s="54" t="s">
        <v>8</v>
      </c>
      <c r="D187" s="54" t="s">
        <v>3</v>
      </c>
      <c r="E187" s="54" t="s">
        <v>4</v>
      </c>
      <c r="F187" s="54" t="s">
        <v>5</v>
      </c>
      <c r="G187" s="54" t="s">
        <v>64</v>
      </c>
      <c r="H187" s="54" t="s">
        <v>117</v>
      </c>
      <c r="I187" s="54" t="s">
        <v>99</v>
      </c>
      <c r="J187" s="54" t="s">
        <v>65</v>
      </c>
      <c r="K187" s="55" t="s">
        <v>66</v>
      </c>
      <c r="L187" s="54" t="s">
        <v>67</v>
      </c>
      <c r="M187" s="54" t="s">
        <v>6</v>
      </c>
      <c r="N187" s="54" t="s">
        <v>54</v>
      </c>
      <c r="O187" s="54" t="s">
        <v>7</v>
      </c>
      <c r="P187" s="54" t="s">
        <v>48</v>
      </c>
      <c r="Q187" s="54" t="s">
        <v>49</v>
      </c>
      <c r="R187" s="54" t="s">
        <v>50</v>
      </c>
      <c r="S187" s="54" t="s">
        <v>51</v>
      </c>
    </row>
    <row r="188" spans="1:19" s="39" customFormat="1" ht="13.5" hidden="1" thickBot="1">
      <c r="A188" s="56">
        <v>1</v>
      </c>
      <c r="B188" s="57">
        <v>2</v>
      </c>
      <c r="C188" s="57">
        <v>3</v>
      </c>
      <c r="D188" s="57">
        <v>4</v>
      </c>
      <c r="E188" s="57">
        <v>5</v>
      </c>
      <c r="F188" s="57">
        <v>6</v>
      </c>
      <c r="G188" s="57">
        <v>7</v>
      </c>
      <c r="H188" s="57">
        <v>8</v>
      </c>
      <c r="I188" s="57">
        <v>9</v>
      </c>
      <c r="J188" s="57">
        <v>10</v>
      </c>
      <c r="K188" s="58">
        <v>11</v>
      </c>
      <c r="L188" s="57">
        <v>12</v>
      </c>
      <c r="M188" s="57">
        <v>13</v>
      </c>
      <c r="N188" s="57">
        <v>14</v>
      </c>
      <c r="O188" s="57">
        <v>15</v>
      </c>
      <c r="P188" s="57">
        <v>16</v>
      </c>
      <c r="Q188" s="57">
        <v>17</v>
      </c>
      <c r="R188" s="57">
        <v>18</v>
      </c>
      <c r="S188" s="59">
        <v>19</v>
      </c>
    </row>
    <row r="189" spans="1:19" s="112" customFormat="1" ht="43.5" customHeight="1" hidden="1" thickTop="1">
      <c r="A189" s="60">
        <v>1</v>
      </c>
      <c r="B189" s="61"/>
      <c r="C189" s="62" t="s">
        <v>180</v>
      </c>
      <c r="D189" s="61" t="e">
        <f>B$185</f>
        <v>#REF!</v>
      </c>
      <c r="E189" s="63"/>
      <c r="F189" s="63">
        <f aca="true" t="shared" si="95" ref="F189:F198">ROUND(O189/18/4,2)</f>
        <v>0</v>
      </c>
      <c r="G189" s="63">
        <v>7570</v>
      </c>
      <c r="H189" s="64">
        <v>0</v>
      </c>
      <c r="I189" s="64">
        <v>0</v>
      </c>
      <c r="J189" s="63"/>
      <c r="K189" s="65">
        <f>(G189+G189*(H189+I189))*J189</f>
        <v>0</v>
      </c>
      <c r="L189" s="63">
        <f aca="true" t="shared" si="96" ref="L189:L198">18*25*4</f>
        <v>1800</v>
      </c>
      <c r="M189" s="63">
        <f>N189*O189</f>
        <v>0</v>
      </c>
      <c r="N189" s="63"/>
      <c r="O189" s="63"/>
      <c r="P189" s="66">
        <f>ROUND(K189/L189,2)</f>
        <v>0</v>
      </c>
      <c r="Q189" s="65">
        <f>N189*O189*P189</f>
        <v>0</v>
      </c>
      <c r="R189" s="65">
        <f>Q189*0.15</f>
        <v>0</v>
      </c>
      <c r="S189" s="67">
        <f>Q189+R189</f>
        <v>0</v>
      </c>
    </row>
    <row r="190" spans="1:19" s="39" customFormat="1" ht="12.75" hidden="1">
      <c r="A190" s="69">
        <v>2</v>
      </c>
      <c r="B190" s="70"/>
      <c r="C190" s="71" t="s">
        <v>52</v>
      </c>
      <c r="D190" s="72" t="e">
        <f aca="true" t="shared" si="97" ref="D190:D198">B$185</f>
        <v>#REF!</v>
      </c>
      <c r="E190" s="71"/>
      <c r="F190" s="71">
        <f t="shared" si="95"/>
        <v>0</v>
      </c>
      <c r="G190" s="71">
        <v>7570</v>
      </c>
      <c r="H190" s="73">
        <f>H$24</f>
        <v>0</v>
      </c>
      <c r="I190" s="73">
        <v>0</v>
      </c>
      <c r="J190" s="71"/>
      <c r="K190" s="74">
        <f aca="true" t="shared" si="98" ref="K190:K198">(G190+G190*(H190+I190))*J190</f>
        <v>0</v>
      </c>
      <c r="L190" s="71">
        <f t="shared" si="96"/>
        <v>1800</v>
      </c>
      <c r="M190" s="71">
        <f aca="true" t="shared" si="99" ref="M190:M198">N190*O190</f>
        <v>0</v>
      </c>
      <c r="N190" s="71"/>
      <c r="O190" s="71"/>
      <c r="P190" s="75">
        <f aca="true" t="shared" si="100" ref="P190:P198">ROUND(K190/L190,2)</f>
        <v>0</v>
      </c>
      <c r="Q190" s="74">
        <f aca="true" t="shared" si="101" ref="Q190:Q198">N190*O190*P190</f>
        <v>0</v>
      </c>
      <c r="R190" s="74">
        <f aca="true" t="shared" si="102" ref="R190:R198">Q190*0.15</f>
        <v>0</v>
      </c>
      <c r="S190" s="76">
        <f aca="true" t="shared" si="103" ref="S190:S198">Q190+R190</f>
        <v>0</v>
      </c>
    </row>
    <row r="191" spans="1:19" s="39" customFormat="1" ht="12.75" hidden="1">
      <c r="A191" s="69">
        <v>3</v>
      </c>
      <c r="B191" s="70"/>
      <c r="C191" s="71" t="s">
        <v>52</v>
      </c>
      <c r="D191" s="72" t="e">
        <f t="shared" si="97"/>
        <v>#REF!</v>
      </c>
      <c r="E191" s="71"/>
      <c r="F191" s="71">
        <f t="shared" si="95"/>
        <v>0</v>
      </c>
      <c r="G191" s="71">
        <v>7570</v>
      </c>
      <c r="H191" s="73">
        <f aca="true" t="shared" si="104" ref="H191:H198">H$24</f>
        <v>0</v>
      </c>
      <c r="I191" s="73"/>
      <c r="J191" s="71"/>
      <c r="K191" s="74">
        <f t="shared" si="98"/>
        <v>0</v>
      </c>
      <c r="L191" s="71">
        <f t="shared" si="96"/>
        <v>1800</v>
      </c>
      <c r="M191" s="71">
        <f t="shared" si="99"/>
        <v>0</v>
      </c>
      <c r="N191" s="71"/>
      <c r="O191" s="71"/>
      <c r="P191" s="75">
        <f t="shared" si="100"/>
        <v>0</v>
      </c>
      <c r="Q191" s="74">
        <f t="shared" si="101"/>
        <v>0</v>
      </c>
      <c r="R191" s="74">
        <f t="shared" si="102"/>
        <v>0</v>
      </c>
      <c r="S191" s="76">
        <f t="shared" si="103"/>
        <v>0</v>
      </c>
    </row>
    <row r="192" spans="1:19" s="39" customFormat="1" ht="12.75" hidden="1">
      <c r="A192" s="69">
        <v>4</v>
      </c>
      <c r="B192" s="70"/>
      <c r="C192" s="71" t="s">
        <v>52</v>
      </c>
      <c r="D192" s="72" t="e">
        <f t="shared" si="97"/>
        <v>#REF!</v>
      </c>
      <c r="E192" s="71"/>
      <c r="F192" s="71">
        <f t="shared" si="95"/>
        <v>0</v>
      </c>
      <c r="G192" s="71">
        <v>7570</v>
      </c>
      <c r="H192" s="73">
        <f t="shared" si="104"/>
        <v>0</v>
      </c>
      <c r="I192" s="73"/>
      <c r="J192" s="71"/>
      <c r="K192" s="74">
        <f t="shared" si="98"/>
        <v>0</v>
      </c>
      <c r="L192" s="71">
        <f t="shared" si="96"/>
        <v>1800</v>
      </c>
      <c r="M192" s="71">
        <f t="shared" si="99"/>
        <v>0</v>
      </c>
      <c r="N192" s="71"/>
      <c r="O192" s="71"/>
      <c r="P192" s="75">
        <f t="shared" si="100"/>
        <v>0</v>
      </c>
      <c r="Q192" s="74">
        <f t="shared" si="101"/>
        <v>0</v>
      </c>
      <c r="R192" s="74">
        <f t="shared" si="102"/>
        <v>0</v>
      </c>
      <c r="S192" s="76">
        <f t="shared" si="103"/>
        <v>0</v>
      </c>
    </row>
    <row r="193" spans="1:19" s="39" customFormat="1" ht="12.75" hidden="1">
      <c r="A193" s="69">
        <v>5</v>
      </c>
      <c r="B193" s="70"/>
      <c r="C193" s="71" t="s">
        <v>52</v>
      </c>
      <c r="D193" s="72" t="e">
        <f t="shared" si="97"/>
        <v>#REF!</v>
      </c>
      <c r="E193" s="71"/>
      <c r="F193" s="71">
        <f t="shared" si="95"/>
        <v>0</v>
      </c>
      <c r="G193" s="71">
        <v>7570</v>
      </c>
      <c r="H193" s="73">
        <f t="shared" si="104"/>
        <v>0</v>
      </c>
      <c r="I193" s="73"/>
      <c r="J193" s="71"/>
      <c r="K193" s="74">
        <f t="shared" si="98"/>
        <v>0</v>
      </c>
      <c r="L193" s="71">
        <f t="shared" si="96"/>
        <v>1800</v>
      </c>
      <c r="M193" s="71">
        <f t="shared" si="99"/>
        <v>0</v>
      </c>
      <c r="N193" s="71"/>
      <c r="O193" s="71"/>
      <c r="P193" s="75">
        <f t="shared" si="100"/>
        <v>0</v>
      </c>
      <c r="Q193" s="74">
        <f t="shared" si="101"/>
        <v>0</v>
      </c>
      <c r="R193" s="74">
        <f t="shared" si="102"/>
        <v>0</v>
      </c>
      <c r="S193" s="76">
        <f t="shared" si="103"/>
        <v>0</v>
      </c>
    </row>
    <row r="194" spans="1:19" s="39" customFormat="1" ht="12.75" hidden="1">
      <c r="A194" s="69">
        <v>6</v>
      </c>
      <c r="B194" s="70"/>
      <c r="C194" s="71" t="s">
        <v>52</v>
      </c>
      <c r="D194" s="72" t="e">
        <f t="shared" si="97"/>
        <v>#REF!</v>
      </c>
      <c r="E194" s="71"/>
      <c r="F194" s="71">
        <f t="shared" si="95"/>
        <v>0</v>
      </c>
      <c r="G194" s="71">
        <v>7570</v>
      </c>
      <c r="H194" s="73">
        <f t="shared" si="104"/>
        <v>0</v>
      </c>
      <c r="I194" s="73"/>
      <c r="J194" s="71"/>
      <c r="K194" s="74">
        <f t="shared" si="98"/>
        <v>0</v>
      </c>
      <c r="L194" s="71">
        <f t="shared" si="96"/>
        <v>1800</v>
      </c>
      <c r="M194" s="71">
        <f t="shared" si="99"/>
        <v>0</v>
      </c>
      <c r="N194" s="71"/>
      <c r="O194" s="71"/>
      <c r="P194" s="75">
        <f t="shared" si="100"/>
        <v>0</v>
      </c>
      <c r="Q194" s="74">
        <f t="shared" si="101"/>
        <v>0</v>
      </c>
      <c r="R194" s="74">
        <f t="shared" si="102"/>
        <v>0</v>
      </c>
      <c r="S194" s="76">
        <f t="shared" si="103"/>
        <v>0</v>
      </c>
    </row>
    <row r="195" spans="1:19" s="39" customFormat="1" ht="12.75" hidden="1">
      <c r="A195" s="69">
        <v>7</v>
      </c>
      <c r="B195" s="70"/>
      <c r="C195" s="71" t="s">
        <v>52</v>
      </c>
      <c r="D195" s="72" t="e">
        <f t="shared" si="97"/>
        <v>#REF!</v>
      </c>
      <c r="E195" s="71"/>
      <c r="F195" s="71">
        <f t="shared" si="95"/>
        <v>0</v>
      </c>
      <c r="G195" s="71">
        <v>7570</v>
      </c>
      <c r="H195" s="73">
        <f t="shared" si="104"/>
        <v>0</v>
      </c>
      <c r="I195" s="73"/>
      <c r="J195" s="71"/>
      <c r="K195" s="74">
        <f t="shared" si="98"/>
        <v>0</v>
      </c>
      <c r="L195" s="71">
        <f t="shared" si="96"/>
        <v>1800</v>
      </c>
      <c r="M195" s="71">
        <f t="shared" si="99"/>
        <v>0</v>
      </c>
      <c r="N195" s="71"/>
      <c r="O195" s="71"/>
      <c r="P195" s="75">
        <f t="shared" si="100"/>
        <v>0</v>
      </c>
      <c r="Q195" s="74">
        <f t="shared" si="101"/>
        <v>0</v>
      </c>
      <c r="R195" s="74">
        <f t="shared" si="102"/>
        <v>0</v>
      </c>
      <c r="S195" s="76">
        <f t="shared" si="103"/>
        <v>0</v>
      </c>
    </row>
    <row r="196" spans="1:19" s="39" customFormat="1" ht="12.75" hidden="1">
      <c r="A196" s="69">
        <v>8</v>
      </c>
      <c r="B196" s="70"/>
      <c r="C196" s="71" t="s">
        <v>52</v>
      </c>
      <c r="D196" s="72" t="e">
        <f t="shared" si="97"/>
        <v>#REF!</v>
      </c>
      <c r="E196" s="71"/>
      <c r="F196" s="71">
        <f t="shared" si="95"/>
        <v>0</v>
      </c>
      <c r="G196" s="71">
        <v>7570</v>
      </c>
      <c r="H196" s="73">
        <f t="shared" si="104"/>
        <v>0</v>
      </c>
      <c r="I196" s="73"/>
      <c r="J196" s="71"/>
      <c r="K196" s="74">
        <f t="shared" si="98"/>
        <v>0</v>
      </c>
      <c r="L196" s="71">
        <f t="shared" si="96"/>
        <v>1800</v>
      </c>
      <c r="M196" s="71">
        <f t="shared" si="99"/>
        <v>0</v>
      </c>
      <c r="N196" s="71"/>
      <c r="O196" s="71"/>
      <c r="P196" s="75">
        <f t="shared" si="100"/>
        <v>0</v>
      </c>
      <c r="Q196" s="74">
        <f t="shared" si="101"/>
        <v>0</v>
      </c>
      <c r="R196" s="74">
        <f t="shared" si="102"/>
        <v>0</v>
      </c>
      <c r="S196" s="76">
        <f t="shared" si="103"/>
        <v>0</v>
      </c>
    </row>
    <row r="197" spans="1:19" s="39" customFormat="1" ht="12.75" hidden="1">
      <c r="A197" s="69">
        <v>9</v>
      </c>
      <c r="B197" s="70"/>
      <c r="C197" s="71" t="s">
        <v>52</v>
      </c>
      <c r="D197" s="72" t="e">
        <f t="shared" si="97"/>
        <v>#REF!</v>
      </c>
      <c r="E197" s="71"/>
      <c r="F197" s="71">
        <f t="shared" si="95"/>
        <v>0</v>
      </c>
      <c r="G197" s="71">
        <v>7570</v>
      </c>
      <c r="H197" s="73">
        <f t="shared" si="104"/>
        <v>0</v>
      </c>
      <c r="I197" s="73"/>
      <c r="J197" s="71"/>
      <c r="K197" s="74">
        <f t="shared" si="98"/>
        <v>0</v>
      </c>
      <c r="L197" s="71">
        <f t="shared" si="96"/>
        <v>1800</v>
      </c>
      <c r="M197" s="71">
        <f t="shared" si="99"/>
        <v>0</v>
      </c>
      <c r="N197" s="71"/>
      <c r="O197" s="71"/>
      <c r="P197" s="75">
        <f t="shared" si="100"/>
        <v>0</v>
      </c>
      <c r="Q197" s="74">
        <f t="shared" si="101"/>
        <v>0</v>
      </c>
      <c r="R197" s="74">
        <f t="shared" si="102"/>
        <v>0</v>
      </c>
      <c r="S197" s="76">
        <f t="shared" si="103"/>
        <v>0</v>
      </c>
    </row>
    <row r="198" spans="1:19" s="39" customFormat="1" ht="13.5" hidden="1" thickBot="1">
      <c r="A198" s="77">
        <v>10</v>
      </c>
      <c r="B198" s="78"/>
      <c r="C198" s="79" t="s">
        <v>52</v>
      </c>
      <c r="D198" s="80" t="e">
        <f t="shared" si="97"/>
        <v>#REF!</v>
      </c>
      <c r="E198" s="79"/>
      <c r="F198" s="79">
        <f t="shared" si="95"/>
        <v>0</v>
      </c>
      <c r="G198" s="79">
        <v>7570</v>
      </c>
      <c r="H198" s="81">
        <f t="shared" si="104"/>
        <v>0</v>
      </c>
      <c r="I198" s="81"/>
      <c r="J198" s="79"/>
      <c r="K198" s="82">
        <f t="shared" si="98"/>
        <v>0</v>
      </c>
      <c r="L198" s="79">
        <f t="shared" si="96"/>
        <v>1800</v>
      </c>
      <c r="M198" s="79">
        <f t="shared" si="99"/>
        <v>0</v>
      </c>
      <c r="N198" s="79"/>
      <c r="O198" s="79"/>
      <c r="P198" s="83">
        <f t="shared" si="100"/>
        <v>0</v>
      </c>
      <c r="Q198" s="82">
        <f t="shared" si="101"/>
        <v>0</v>
      </c>
      <c r="R198" s="82">
        <f t="shared" si="102"/>
        <v>0</v>
      </c>
      <c r="S198" s="84">
        <f t="shared" si="103"/>
        <v>0</v>
      </c>
    </row>
    <row r="199" spans="1:19" s="39" customFormat="1" ht="13.5" hidden="1" thickBot="1">
      <c r="A199" s="85"/>
      <c r="B199" s="86"/>
      <c r="C199" s="86"/>
      <c r="D199" s="86" t="s">
        <v>53</v>
      </c>
      <c r="E199" s="86"/>
      <c r="F199" s="87">
        <f>SUM(F189:F198)</f>
        <v>0</v>
      </c>
      <c r="G199" s="86"/>
      <c r="H199" s="86"/>
      <c r="I199" s="86"/>
      <c r="J199" s="86"/>
      <c r="K199" s="88"/>
      <c r="L199" s="86"/>
      <c r="M199" s="89">
        <f>SUM(M189:M198)</f>
        <v>0</v>
      </c>
      <c r="N199" s="89">
        <f>SUM(N189:N198)</f>
        <v>0</v>
      </c>
      <c r="O199" s="89">
        <f>SUM(O189:O198)</f>
        <v>0</v>
      </c>
      <c r="P199" s="86"/>
      <c r="Q199" s="87">
        <f>SUM(Q189:Q198)</f>
        <v>0</v>
      </c>
      <c r="R199" s="87">
        <f>SUM(R189:R198)</f>
        <v>0</v>
      </c>
      <c r="S199" s="90">
        <f>SUM(S189:S198)</f>
        <v>0</v>
      </c>
    </row>
    <row r="200" spans="1:19" s="39" customFormat="1" ht="12.75" hidden="1">
      <c r="A200" s="118"/>
      <c r="B200" s="92"/>
      <c r="C200" s="92"/>
      <c r="D200" s="92"/>
      <c r="E200" s="92"/>
      <c r="F200" s="93"/>
      <c r="G200" s="92"/>
      <c r="H200" s="92"/>
      <c r="I200" s="92"/>
      <c r="J200" s="92"/>
      <c r="K200" s="94"/>
      <c r="L200" s="92"/>
      <c r="M200" s="95"/>
      <c r="N200" s="95" t="e">
        <f>доходы!#REF!</f>
        <v>#REF!</v>
      </c>
      <c r="O200" s="96" t="s">
        <v>116</v>
      </c>
      <c r="P200" s="119"/>
      <c r="Q200" s="120"/>
      <c r="R200" s="121"/>
      <c r="S200" s="136"/>
    </row>
    <row r="201" spans="1:19" s="39" customFormat="1" ht="12.75" hidden="1">
      <c r="A201" s="137" t="s">
        <v>125</v>
      </c>
      <c r="B201" s="138" t="e">
        <f>доходы!#REF!</f>
        <v>#REF!</v>
      </c>
      <c r="C201" s="92"/>
      <c r="D201" s="92"/>
      <c r="E201" s="92"/>
      <c r="F201" s="139"/>
      <c r="G201" s="139"/>
      <c r="H201" s="139"/>
      <c r="I201" s="139"/>
      <c r="J201" s="139"/>
      <c r="K201" s="140"/>
      <c r="L201" s="139"/>
      <c r="M201" s="139"/>
      <c r="N201" s="139"/>
      <c r="O201" s="139"/>
      <c r="P201" s="139"/>
      <c r="Q201" s="139"/>
      <c r="R201" s="139"/>
      <c r="S201" s="141"/>
    </row>
    <row r="202" spans="1:19" s="39" customFormat="1" ht="13.5" hidden="1" thickBot="1">
      <c r="A202" s="142"/>
      <c r="B202" s="139"/>
      <c r="C202" s="139"/>
      <c r="D202" s="139"/>
      <c r="E202" s="139"/>
      <c r="F202" s="139"/>
      <c r="G202" s="139"/>
      <c r="H202" s="139"/>
      <c r="I202" s="139"/>
      <c r="J202" s="139"/>
      <c r="K202" s="140"/>
      <c r="L202" s="139"/>
      <c r="M202" s="139"/>
      <c r="N202" s="139"/>
      <c r="O202" s="139"/>
      <c r="P202" s="139"/>
      <c r="Q202" s="139"/>
      <c r="R202" s="139"/>
      <c r="S202" s="141"/>
    </row>
    <row r="203" spans="1:19" s="39" customFormat="1" ht="51.75" hidden="1" thickBot="1">
      <c r="A203" s="99" t="s">
        <v>1</v>
      </c>
      <c r="B203" s="99" t="s">
        <v>2</v>
      </c>
      <c r="C203" s="99" t="s">
        <v>8</v>
      </c>
      <c r="D203" s="99" t="s">
        <v>3</v>
      </c>
      <c r="E203" s="99" t="s">
        <v>4</v>
      </c>
      <c r="F203" s="99" t="s">
        <v>5</v>
      </c>
      <c r="G203" s="99" t="s">
        <v>64</v>
      </c>
      <c r="H203" s="99" t="s">
        <v>117</v>
      </c>
      <c r="I203" s="99" t="s">
        <v>99</v>
      </c>
      <c r="J203" s="99" t="s">
        <v>65</v>
      </c>
      <c r="K203" s="100" t="s">
        <v>66</v>
      </c>
      <c r="L203" s="99" t="s">
        <v>67</v>
      </c>
      <c r="M203" s="99" t="s">
        <v>6</v>
      </c>
      <c r="N203" s="99" t="s">
        <v>54</v>
      </c>
      <c r="O203" s="99" t="s">
        <v>7</v>
      </c>
      <c r="P203" s="99" t="s">
        <v>48</v>
      </c>
      <c r="Q203" s="99" t="s">
        <v>49</v>
      </c>
      <c r="R203" s="99" t="s">
        <v>50</v>
      </c>
      <c r="S203" s="99" t="s">
        <v>51</v>
      </c>
    </row>
    <row r="204" spans="1:19" s="39" customFormat="1" ht="12.75" hidden="1">
      <c r="A204" s="101">
        <v>1</v>
      </c>
      <c r="B204" s="102">
        <v>2</v>
      </c>
      <c r="C204" s="102">
        <v>3</v>
      </c>
      <c r="D204" s="102">
        <v>4</v>
      </c>
      <c r="E204" s="102">
        <v>5</v>
      </c>
      <c r="F204" s="102">
        <v>6</v>
      </c>
      <c r="G204" s="102">
        <v>7</v>
      </c>
      <c r="H204" s="102">
        <v>8</v>
      </c>
      <c r="I204" s="102">
        <v>9</v>
      </c>
      <c r="J204" s="102">
        <v>10</v>
      </c>
      <c r="K204" s="104">
        <v>11</v>
      </c>
      <c r="L204" s="102">
        <v>12</v>
      </c>
      <c r="M204" s="102">
        <v>13</v>
      </c>
      <c r="N204" s="102">
        <v>14</v>
      </c>
      <c r="O204" s="102">
        <v>15</v>
      </c>
      <c r="P204" s="102">
        <v>16</v>
      </c>
      <c r="Q204" s="102">
        <v>17</v>
      </c>
      <c r="R204" s="102">
        <v>18</v>
      </c>
      <c r="S204" s="105">
        <v>19</v>
      </c>
    </row>
    <row r="205" spans="1:19" s="39" customFormat="1" ht="12.75" hidden="1">
      <c r="A205" s="69">
        <v>1</v>
      </c>
      <c r="B205" s="70" t="s">
        <v>118</v>
      </c>
      <c r="C205" s="71" t="s">
        <v>52</v>
      </c>
      <c r="D205" s="72" t="e">
        <f>B$201</f>
        <v>#REF!</v>
      </c>
      <c r="E205" s="71"/>
      <c r="F205" s="71">
        <f aca="true" t="shared" si="105" ref="F205:F214">ROUND(O205/18/4,2)</f>
        <v>0</v>
      </c>
      <c r="G205" s="71">
        <v>7570</v>
      </c>
      <c r="H205" s="73">
        <v>0.15</v>
      </c>
      <c r="I205" s="73">
        <v>0</v>
      </c>
      <c r="J205" s="71"/>
      <c r="K205" s="74">
        <f>(G205+G205*(H205+I205))*J205</f>
        <v>0</v>
      </c>
      <c r="L205" s="71">
        <f aca="true" t="shared" si="106" ref="L205:L214">18*25*4</f>
        <v>1800</v>
      </c>
      <c r="M205" s="71">
        <f>N205*O205</f>
        <v>0</v>
      </c>
      <c r="N205" s="71"/>
      <c r="O205" s="71"/>
      <c r="P205" s="75">
        <f>ROUND(K205/L205,2)</f>
        <v>0</v>
      </c>
      <c r="Q205" s="74">
        <f>N205*O205*P205</f>
        <v>0</v>
      </c>
      <c r="R205" s="74">
        <f>Q205*0.15</f>
        <v>0</v>
      </c>
      <c r="S205" s="76">
        <f>Q205+R205</f>
        <v>0</v>
      </c>
    </row>
    <row r="206" spans="1:19" s="39" customFormat="1" ht="12.75" hidden="1">
      <c r="A206" s="69">
        <v>2</v>
      </c>
      <c r="B206" s="70"/>
      <c r="C206" s="71" t="s">
        <v>52</v>
      </c>
      <c r="D206" s="72" t="e">
        <f aca="true" t="shared" si="107" ref="D206:D214">B$201</f>
        <v>#REF!</v>
      </c>
      <c r="E206" s="71"/>
      <c r="F206" s="71">
        <f t="shared" si="105"/>
        <v>0</v>
      </c>
      <c r="G206" s="71">
        <v>7570</v>
      </c>
      <c r="H206" s="73">
        <f>H$24</f>
        <v>0</v>
      </c>
      <c r="I206" s="73">
        <v>0</v>
      </c>
      <c r="J206" s="71"/>
      <c r="K206" s="74">
        <f aca="true" t="shared" si="108" ref="K206:K214">(G206+G206*(H206+I206))*J206</f>
        <v>0</v>
      </c>
      <c r="L206" s="71">
        <f t="shared" si="106"/>
        <v>1800</v>
      </c>
      <c r="M206" s="71">
        <f aca="true" t="shared" si="109" ref="M206:M214">N206*O206</f>
        <v>0</v>
      </c>
      <c r="N206" s="71"/>
      <c r="O206" s="71"/>
      <c r="P206" s="75">
        <f aca="true" t="shared" si="110" ref="P206:P214">ROUND(K206/L206,2)</f>
        <v>0</v>
      </c>
      <c r="Q206" s="74">
        <f aca="true" t="shared" si="111" ref="Q206:Q214">N206*O206*P206</f>
        <v>0</v>
      </c>
      <c r="R206" s="74">
        <f aca="true" t="shared" si="112" ref="R206:R214">Q206*0.15</f>
        <v>0</v>
      </c>
      <c r="S206" s="76">
        <f aca="true" t="shared" si="113" ref="S206:S214">Q206+R206</f>
        <v>0</v>
      </c>
    </row>
    <row r="207" spans="1:19" s="39" customFormat="1" ht="12.75" hidden="1">
      <c r="A207" s="69">
        <v>3</v>
      </c>
      <c r="B207" s="70"/>
      <c r="C207" s="71" t="s">
        <v>52</v>
      </c>
      <c r="D207" s="72" t="e">
        <f t="shared" si="107"/>
        <v>#REF!</v>
      </c>
      <c r="E207" s="71"/>
      <c r="F207" s="71">
        <f t="shared" si="105"/>
        <v>0</v>
      </c>
      <c r="G207" s="71">
        <v>7570</v>
      </c>
      <c r="H207" s="73">
        <f aca="true" t="shared" si="114" ref="H207:H214">H$24</f>
        <v>0</v>
      </c>
      <c r="I207" s="73"/>
      <c r="J207" s="71"/>
      <c r="K207" s="74">
        <f t="shared" si="108"/>
        <v>0</v>
      </c>
      <c r="L207" s="71">
        <f t="shared" si="106"/>
        <v>1800</v>
      </c>
      <c r="M207" s="71">
        <f t="shared" si="109"/>
        <v>0</v>
      </c>
      <c r="N207" s="71"/>
      <c r="O207" s="71"/>
      <c r="P207" s="75">
        <f t="shared" si="110"/>
        <v>0</v>
      </c>
      <c r="Q207" s="74">
        <f t="shared" si="111"/>
        <v>0</v>
      </c>
      <c r="R207" s="74">
        <f t="shared" si="112"/>
        <v>0</v>
      </c>
      <c r="S207" s="76">
        <f t="shared" si="113"/>
        <v>0</v>
      </c>
    </row>
    <row r="208" spans="1:19" s="39" customFormat="1" ht="12.75" hidden="1">
      <c r="A208" s="69">
        <v>4</v>
      </c>
      <c r="B208" s="70"/>
      <c r="C208" s="71" t="s">
        <v>52</v>
      </c>
      <c r="D208" s="72" t="e">
        <f t="shared" si="107"/>
        <v>#REF!</v>
      </c>
      <c r="E208" s="71"/>
      <c r="F208" s="71">
        <f t="shared" si="105"/>
        <v>0</v>
      </c>
      <c r="G208" s="71">
        <v>7570</v>
      </c>
      <c r="H208" s="73">
        <f t="shared" si="114"/>
        <v>0</v>
      </c>
      <c r="I208" s="73"/>
      <c r="J208" s="71"/>
      <c r="K208" s="74">
        <f t="shared" si="108"/>
        <v>0</v>
      </c>
      <c r="L208" s="71">
        <f t="shared" si="106"/>
        <v>1800</v>
      </c>
      <c r="M208" s="71">
        <f t="shared" si="109"/>
        <v>0</v>
      </c>
      <c r="N208" s="71"/>
      <c r="O208" s="71"/>
      <c r="P208" s="75">
        <f t="shared" si="110"/>
        <v>0</v>
      </c>
      <c r="Q208" s="74">
        <f t="shared" si="111"/>
        <v>0</v>
      </c>
      <c r="R208" s="74">
        <f t="shared" si="112"/>
        <v>0</v>
      </c>
      <c r="S208" s="76">
        <f t="shared" si="113"/>
        <v>0</v>
      </c>
    </row>
    <row r="209" spans="1:19" s="39" customFormat="1" ht="12.75" hidden="1">
      <c r="A209" s="69">
        <v>5</v>
      </c>
      <c r="B209" s="70"/>
      <c r="C209" s="71" t="s">
        <v>52</v>
      </c>
      <c r="D209" s="72" t="e">
        <f t="shared" si="107"/>
        <v>#REF!</v>
      </c>
      <c r="E209" s="71"/>
      <c r="F209" s="71">
        <f t="shared" si="105"/>
        <v>0</v>
      </c>
      <c r="G209" s="71">
        <v>7570</v>
      </c>
      <c r="H209" s="73">
        <f t="shared" si="114"/>
        <v>0</v>
      </c>
      <c r="I209" s="73"/>
      <c r="J209" s="71"/>
      <c r="K209" s="74">
        <f t="shared" si="108"/>
        <v>0</v>
      </c>
      <c r="L209" s="71">
        <f t="shared" si="106"/>
        <v>1800</v>
      </c>
      <c r="M209" s="71">
        <f t="shared" si="109"/>
        <v>0</v>
      </c>
      <c r="N209" s="71"/>
      <c r="O209" s="71"/>
      <c r="P209" s="75">
        <f t="shared" si="110"/>
        <v>0</v>
      </c>
      <c r="Q209" s="74">
        <f t="shared" si="111"/>
        <v>0</v>
      </c>
      <c r="R209" s="74">
        <f t="shared" si="112"/>
        <v>0</v>
      </c>
      <c r="S209" s="76">
        <f t="shared" si="113"/>
        <v>0</v>
      </c>
    </row>
    <row r="210" spans="1:19" s="39" customFormat="1" ht="12.75" hidden="1">
      <c r="A210" s="69">
        <v>6</v>
      </c>
      <c r="B210" s="70"/>
      <c r="C210" s="71" t="s">
        <v>52</v>
      </c>
      <c r="D210" s="72" t="e">
        <f t="shared" si="107"/>
        <v>#REF!</v>
      </c>
      <c r="E210" s="71"/>
      <c r="F210" s="71">
        <f t="shared" si="105"/>
        <v>0</v>
      </c>
      <c r="G210" s="71">
        <v>7570</v>
      </c>
      <c r="H210" s="73">
        <f t="shared" si="114"/>
        <v>0</v>
      </c>
      <c r="I210" s="73"/>
      <c r="J210" s="71"/>
      <c r="K210" s="74">
        <f t="shared" si="108"/>
        <v>0</v>
      </c>
      <c r="L210" s="71">
        <f t="shared" si="106"/>
        <v>1800</v>
      </c>
      <c r="M210" s="71">
        <f t="shared" si="109"/>
        <v>0</v>
      </c>
      <c r="N210" s="71"/>
      <c r="O210" s="71"/>
      <c r="P210" s="75">
        <f t="shared" si="110"/>
        <v>0</v>
      </c>
      <c r="Q210" s="74">
        <f t="shared" si="111"/>
        <v>0</v>
      </c>
      <c r="R210" s="74">
        <f t="shared" si="112"/>
        <v>0</v>
      </c>
      <c r="S210" s="76">
        <f t="shared" si="113"/>
        <v>0</v>
      </c>
    </row>
    <row r="211" spans="1:19" s="39" customFormat="1" ht="12.75" hidden="1">
      <c r="A211" s="69">
        <v>7</v>
      </c>
      <c r="B211" s="70"/>
      <c r="C211" s="71" t="s">
        <v>52</v>
      </c>
      <c r="D211" s="72" t="e">
        <f t="shared" si="107"/>
        <v>#REF!</v>
      </c>
      <c r="E211" s="71"/>
      <c r="F211" s="71">
        <f t="shared" si="105"/>
        <v>0</v>
      </c>
      <c r="G211" s="71">
        <v>7570</v>
      </c>
      <c r="H211" s="73">
        <f t="shared" si="114"/>
        <v>0</v>
      </c>
      <c r="I211" s="73"/>
      <c r="J211" s="71"/>
      <c r="K211" s="74">
        <f t="shared" si="108"/>
        <v>0</v>
      </c>
      <c r="L211" s="71">
        <f t="shared" si="106"/>
        <v>1800</v>
      </c>
      <c r="M211" s="71">
        <f t="shared" si="109"/>
        <v>0</v>
      </c>
      <c r="N211" s="71"/>
      <c r="O211" s="71"/>
      <c r="P211" s="75">
        <f t="shared" si="110"/>
        <v>0</v>
      </c>
      <c r="Q211" s="74">
        <f t="shared" si="111"/>
        <v>0</v>
      </c>
      <c r="R211" s="74">
        <f t="shared" si="112"/>
        <v>0</v>
      </c>
      <c r="S211" s="76">
        <f t="shared" si="113"/>
        <v>0</v>
      </c>
    </row>
    <row r="212" spans="1:19" s="39" customFormat="1" ht="12.75" hidden="1">
      <c r="A212" s="69">
        <v>8</v>
      </c>
      <c r="B212" s="70"/>
      <c r="C212" s="71" t="s">
        <v>52</v>
      </c>
      <c r="D212" s="72" t="e">
        <f t="shared" si="107"/>
        <v>#REF!</v>
      </c>
      <c r="E212" s="71"/>
      <c r="F212" s="71">
        <f t="shared" si="105"/>
        <v>0</v>
      </c>
      <c r="G212" s="71">
        <v>7570</v>
      </c>
      <c r="H212" s="73">
        <f t="shared" si="114"/>
        <v>0</v>
      </c>
      <c r="I212" s="73"/>
      <c r="J212" s="71"/>
      <c r="K212" s="74">
        <f t="shared" si="108"/>
        <v>0</v>
      </c>
      <c r="L212" s="71">
        <f t="shared" si="106"/>
        <v>1800</v>
      </c>
      <c r="M212" s="71">
        <f t="shared" si="109"/>
        <v>0</v>
      </c>
      <c r="N212" s="71"/>
      <c r="O212" s="71"/>
      <c r="P212" s="75">
        <f t="shared" si="110"/>
        <v>0</v>
      </c>
      <c r="Q212" s="74">
        <f t="shared" si="111"/>
        <v>0</v>
      </c>
      <c r="R212" s="74">
        <f t="shared" si="112"/>
        <v>0</v>
      </c>
      <c r="S212" s="76">
        <f t="shared" si="113"/>
        <v>0</v>
      </c>
    </row>
    <row r="213" spans="1:19" s="39" customFormat="1" ht="12.75" hidden="1">
      <c r="A213" s="69">
        <v>9</v>
      </c>
      <c r="B213" s="70"/>
      <c r="C213" s="71" t="s">
        <v>52</v>
      </c>
      <c r="D213" s="72" t="e">
        <f t="shared" si="107"/>
        <v>#REF!</v>
      </c>
      <c r="E213" s="71"/>
      <c r="F213" s="71">
        <f t="shared" si="105"/>
        <v>0</v>
      </c>
      <c r="G213" s="71">
        <v>7570</v>
      </c>
      <c r="H213" s="73">
        <f t="shared" si="114"/>
        <v>0</v>
      </c>
      <c r="I213" s="73"/>
      <c r="J213" s="71"/>
      <c r="K213" s="74">
        <f t="shared" si="108"/>
        <v>0</v>
      </c>
      <c r="L213" s="71">
        <f t="shared" si="106"/>
        <v>1800</v>
      </c>
      <c r="M213" s="71">
        <f t="shared" si="109"/>
        <v>0</v>
      </c>
      <c r="N213" s="71"/>
      <c r="O213" s="71"/>
      <c r="P213" s="75">
        <f t="shared" si="110"/>
        <v>0</v>
      </c>
      <c r="Q213" s="74">
        <f t="shared" si="111"/>
        <v>0</v>
      </c>
      <c r="R213" s="74">
        <f t="shared" si="112"/>
        <v>0</v>
      </c>
      <c r="S213" s="76">
        <f t="shared" si="113"/>
        <v>0</v>
      </c>
    </row>
    <row r="214" spans="1:19" s="39" customFormat="1" ht="12.75" hidden="1">
      <c r="A214" s="69">
        <v>10</v>
      </c>
      <c r="B214" s="70"/>
      <c r="C214" s="71" t="s">
        <v>52</v>
      </c>
      <c r="D214" s="72" t="e">
        <f t="shared" si="107"/>
        <v>#REF!</v>
      </c>
      <c r="E214" s="71"/>
      <c r="F214" s="71">
        <f t="shared" si="105"/>
        <v>0</v>
      </c>
      <c r="G214" s="71">
        <v>7570</v>
      </c>
      <c r="H214" s="73">
        <f t="shared" si="114"/>
        <v>0</v>
      </c>
      <c r="I214" s="73"/>
      <c r="J214" s="71"/>
      <c r="K214" s="74">
        <f t="shared" si="108"/>
        <v>0</v>
      </c>
      <c r="L214" s="71">
        <f t="shared" si="106"/>
        <v>1800</v>
      </c>
      <c r="M214" s="71">
        <f t="shared" si="109"/>
        <v>0</v>
      </c>
      <c r="N214" s="71"/>
      <c r="O214" s="71"/>
      <c r="P214" s="75">
        <f t="shared" si="110"/>
        <v>0</v>
      </c>
      <c r="Q214" s="74">
        <f t="shared" si="111"/>
        <v>0</v>
      </c>
      <c r="R214" s="74">
        <f t="shared" si="112"/>
        <v>0</v>
      </c>
      <c r="S214" s="76">
        <f t="shared" si="113"/>
        <v>0</v>
      </c>
    </row>
    <row r="215" spans="1:19" s="39" customFormat="1" ht="13.5" hidden="1" thickBot="1">
      <c r="A215" s="113"/>
      <c r="B215" s="114"/>
      <c r="C215" s="114"/>
      <c r="D215" s="114" t="s">
        <v>53</v>
      </c>
      <c r="E215" s="114"/>
      <c r="F215" s="115">
        <f>SUM(F205:F214)</f>
        <v>0</v>
      </c>
      <c r="G215" s="114"/>
      <c r="H215" s="114"/>
      <c r="I215" s="114"/>
      <c r="J215" s="114"/>
      <c r="K215" s="116"/>
      <c r="L215" s="114"/>
      <c r="M215" s="117">
        <f>SUM(M205:M214)</f>
        <v>0</v>
      </c>
      <c r="N215" s="117">
        <f>SUM(N205:N214)</f>
        <v>0</v>
      </c>
      <c r="O215" s="117">
        <f>SUM(O205:O214)</f>
        <v>0</v>
      </c>
      <c r="P215" s="114"/>
      <c r="Q215" s="115">
        <f>SUM(Q205:Q214)</f>
        <v>0</v>
      </c>
      <c r="R215" s="115">
        <f>SUM(R205:R214)</f>
        <v>0</v>
      </c>
      <c r="S215" s="143">
        <f>SUM(S205:S214)</f>
        <v>0</v>
      </c>
    </row>
    <row r="216" spans="1:19" s="39" customFormat="1" ht="12.75" hidden="1">
      <c r="A216" s="118"/>
      <c r="B216" s="92"/>
      <c r="C216" s="92"/>
      <c r="D216" s="92"/>
      <c r="E216" s="92"/>
      <c r="F216" s="93"/>
      <c r="G216" s="92"/>
      <c r="H216" s="92"/>
      <c r="I216" s="92"/>
      <c r="J216" s="92"/>
      <c r="K216" s="94"/>
      <c r="L216" s="92"/>
      <c r="M216" s="95"/>
      <c r="N216" s="95" t="e">
        <f>доходы!#REF!</f>
        <v>#REF!</v>
      </c>
      <c r="O216" s="96" t="s">
        <v>116</v>
      </c>
      <c r="P216" s="119"/>
      <c r="Q216" s="120"/>
      <c r="R216" s="121"/>
      <c r="S216" s="136"/>
    </row>
    <row r="217" spans="1:19" s="39" customFormat="1" ht="12.75" hidden="1">
      <c r="A217" s="137" t="s">
        <v>126</v>
      </c>
      <c r="B217" s="138">
        <f>доходы!B23</f>
        <v>0</v>
      </c>
      <c r="C217" s="92"/>
      <c r="D217" s="92"/>
      <c r="E217" s="92"/>
      <c r="F217" s="139"/>
      <c r="G217" s="139"/>
      <c r="H217" s="139"/>
      <c r="I217" s="139"/>
      <c r="J217" s="139"/>
      <c r="K217" s="140"/>
      <c r="L217" s="139"/>
      <c r="M217" s="139"/>
      <c r="N217" s="139"/>
      <c r="O217" s="139"/>
      <c r="P217" s="139"/>
      <c r="Q217" s="139"/>
      <c r="R217" s="139"/>
      <c r="S217" s="141"/>
    </row>
    <row r="218" spans="1:19" s="39" customFormat="1" ht="13.5" hidden="1" thickBot="1">
      <c r="A218" s="142"/>
      <c r="B218" s="139"/>
      <c r="C218" s="139"/>
      <c r="D218" s="139"/>
      <c r="E218" s="139"/>
      <c r="F218" s="139"/>
      <c r="G218" s="139"/>
      <c r="H218" s="139"/>
      <c r="I218" s="139"/>
      <c r="J218" s="139"/>
      <c r="K218" s="140"/>
      <c r="L218" s="139"/>
      <c r="M218" s="139"/>
      <c r="N218" s="139"/>
      <c r="O218" s="139"/>
      <c r="P218" s="139"/>
      <c r="Q218" s="139"/>
      <c r="R218" s="139"/>
      <c r="S218" s="141"/>
    </row>
    <row r="219" spans="1:19" s="39" customFormat="1" ht="51.75" hidden="1" thickBot="1">
      <c r="A219" s="99" t="s">
        <v>1</v>
      </c>
      <c r="B219" s="99" t="s">
        <v>2</v>
      </c>
      <c r="C219" s="99" t="s">
        <v>8</v>
      </c>
      <c r="D219" s="99" t="s">
        <v>3</v>
      </c>
      <c r="E219" s="99" t="s">
        <v>4</v>
      </c>
      <c r="F219" s="99" t="s">
        <v>5</v>
      </c>
      <c r="G219" s="99" t="s">
        <v>64</v>
      </c>
      <c r="H219" s="99" t="s">
        <v>117</v>
      </c>
      <c r="I219" s="99" t="s">
        <v>99</v>
      </c>
      <c r="J219" s="99" t="s">
        <v>65</v>
      </c>
      <c r="K219" s="100" t="s">
        <v>66</v>
      </c>
      <c r="L219" s="99" t="s">
        <v>67</v>
      </c>
      <c r="M219" s="99" t="s">
        <v>6</v>
      </c>
      <c r="N219" s="99" t="s">
        <v>54</v>
      </c>
      <c r="O219" s="99" t="s">
        <v>7</v>
      </c>
      <c r="P219" s="99" t="s">
        <v>48</v>
      </c>
      <c r="Q219" s="99" t="s">
        <v>49</v>
      </c>
      <c r="R219" s="99" t="s">
        <v>50</v>
      </c>
      <c r="S219" s="99" t="s">
        <v>51</v>
      </c>
    </row>
    <row r="220" spans="1:19" s="39" customFormat="1" ht="12.75" hidden="1">
      <c r="A220" s="101">
        <v>1</v>
      </c>
      <c r="B220" s="102">
        <v>2</v>
      </c>
      <c r="C220" s="102">
        <v>3</v>
      </c>
      <c r="D220" s="102">
        <v>4</v>
      </c>
      <c r="E220" s="102">
        <v>5</v>
      </c>
      <c r="F220" s="102">
        <v>6</v>
      </c>
      <c r="G220" s="102">
        <v>7</v>
      </c>
      <c r="H220" s="102">
        <v>8</v>
      </c>
      <c r="I220" s="102">
        <v>9</v>
      </c>
      <c r="J220" s="102">
        <v>10</v>
      </c>
      <c r="K220" s="104">
        <v>11</v>
      </c>
      <c r="L220" s="102">
        <v>12</v>
      </c>
      <c r="M220" s="102">
        <v>13</v>
      </c>
      <c r="N220" s="102">
        <v>14</v>
      </c>
      <c r="O220" s="102">
        <v>15</v>
      </c>
      <c r="P220" s="102">
        <v>16</v>
      </c>
      <c r="Q220" s="102">
        <v>17</v>
      </c>
      <c r="R220" s="102">
        <v>18</v>
      </c>
      <c r="S220" s="105">
        <v>19</v>
      </c>
    </row>
    <row r="221" spans="1:19" s="39" customFormat="1" ht="12.75" hidden="1">
      <c r="A221" s="69">
        <v>1</v>
      </c>
      <c r="B221" s="70" t="s">
        <v>118</v>
      </c>
      <c r="C221" s="71" t="s">
        <v>52</v>
      </c>
      <c r="D221" s="72">
        <f>B$217</f>
        <v>0</v>
      </c>
      <c r="E221" s="71"/>
      <c r="F221" s="71">
        <f aca="true" t="shared" si="115" ref="F221:F230">ROUND(O221/18/4,2)</f>
        <v>0</v>
      </c>
      <c r="G221" s="71">
        <v>7570</v>
      </c>
      <c r="H221" s="73">
        <v>0.15</v>
      </c>
      <c r="I221" s="73">
        <v>0</v>
      </c>
      <c r="J221" s="71"/>
      <c r="K221" s="74">
        <f>(G221+G221*(H221+I221))*J221</f>
        <v>0</v>
      </c>
      <c r="L221" s="71">
        <f aca="true" t="shared" si="116" ref="L221:L230">18*25*4</f>
        <v>1800</v>
      </c>
      <c r="M221" s="71">
        <f>N221*O221</f>
        <v>0</v>
      </c>
      <c r="N221" s="71"/>
      <c r="O221" s="71"/>
      <c r="P221" s="75">
        <f>ROUND(K221/L221,2)</f>
        <v>0</v>
      </c>
      <c r="Q221" s="74">
        <f>N221*O221*P221</f>
        <v>0</v>
      </c>
      <c r="R221" s="74">
        <f>Q221*0.15</f>
        <v>0</v>
      </c>
      <c r="S221" s="76">
        <f>Q221+R221</f>
        <v>0</v>
      </c>
    </row>
    <row r="222" spans="1:19" s="39" customFormat="1" ht="12.75" hidden="1">
      <c r="A222" s="69">
        <v>2</v>
      </c>
      <c r="B222" s="70"/>
      <c r="C222" s="71" t="s">
        <v>52</v>
      </c>
      <c r="D222" s="72">
        <f aca="true" t="shared" si="117" ref="D222:D230">B$217</f>
        <v>0</v>
      </c>
      <c r="E222" s="71"/>
      <c r="F222" s="71">
        <f t="shared" si="115"/>
        <v>0</v>
      </c>
      <c r="G222" s="71">
        <v>7570</v>
      </c>
      <c r="H222" s="73">
        <f>H$24</f>
        <v>0</v>
      </c>
      <c r="I222" s="73">
        <v>0</v>
      </c>
      <c r="J222" s="71"/>
      <c r="K222" s="74">
        <f aca="true" t="shared" si="118" ref="K222:K230">(G222+G222*(H222+I222))*J222</f>
        <v>0</v>
      </c>
      <c r="L222" s="71">
        <f t="shared" si="116"/>
        <v>1800</v>
      </c>
      <c r="M222" s="71">
        <f aca="true" t="shared" si="119" ref="M222:M230">N222*O222</f>
        <v>0</v>
      </c>
      <c r="N222" s="71"/>
      <c r="O222" s="71"/>
      <c r="P222" s="75">
        <f aca="true" t="shared" si="120" ref="P222:P230">ROUND(K222/L222,2)</f>
        <v>0</v>
      </c>
      <c r="Q222" s="74">
        <f aca="true" t="shared" si="121" ref="Q222:Q230">N222*O222*P222</f>
        <v>0</v>
      </c>
      <c r="R222" s="74">
        <f aca="true" t="shared" si="122" ref="R222:R230">Q222*0.15</f>
        <v>0</v>
      </c>
      <c r="S222" s="76">
        <f aca="true" t="shared" si="123" ref="S222:S230">Q222+R222</f>
        <v>0</v>
      </c>
    </row>
    <row r="223" spans="1:19" s="39" customFormat="1" ht="12.75" hidden="1">
      <c r="A223" s="69">
        <v>3</v>
      </c>
      <c r="B223" s="70"/>
      <c r="C223" s="71" t="s">
        <v>52</v>
      </c>
      <c r="D223" s="72">
        <f t="shared" si="117"/>
        <v>0</v>
      </c>
      <c r="E223" s="71"/>
      <c r="F223" s="71">
        <f t="shared" si="115"/>
        <v>0</v>
      </c>
      <c r="G223" s="71">
        <v>7570</v>
      </c>
      <c r="H223" s="73">
        <f aca="true" t="shared" si="124" ref="H223:H230">H$24</f>
        <v>0</v>
      </c>
      <c r="I223" s="73"/>
      <c r="J223" s="71"/>
      <c r="K223" s="74">
        <f t="shared" si="118"/>
        <v>0</v>
      </c>
      <c r="L223" s="71">
        <f t="shared" si="116"/>
        <v>1800</v>
      </c>
      <c r="M223" s="71">
        <f t="shared" si="119"/>
        <v>0</v>
      </c>
      <c r="N223" s="71"/>
      <c r="O223" s="71"/>
      <c r="P223" s="75">
        <f t="shared" si="120"/>
        <v>0</v>
      </c>
      <c r="Q223" s="74">
        <f t="shared" si="121"/>
        <v>0</v>
      </c>
      <c r="R223" s="74">
        <f t="shared" si="122"/>
        <v>0</v>
      </c>
      <c r="S223" s="76">
        <f t="shared" si="123"/>
        <v>0</v>
      </c>
    </row>
    <row r="224" spans="1:19" s="39" customFormat="1" ht="12.75" hidden="1">
      <c r="A224" s="69">
        <v>4</v>
      </c>
      <c r="B224" s="70"/>
      <c r="C224" s="71" t="s">
        <v>52</v>
      </c>
      <c r="D224" s="72">
        <f t="shared" si="117"/>
        <v>0</v>
      </c>
      <c r="E224" s="71"/>
      <c r="F224" s="71">
        <f t="shared" si="115"/>
        <v>0</v>
      </c>
      <c r="G224" s="71">
        <v>7570</v>
      </c>
      <c r="H224" s="73">
        <f t="shared" si="124"/>
        <v>0</v>
      </c>
      <c r="I224" s="73"/>
      <c r="J224" s="71"/>
      <c r="K224" s="74">
        <f t="shared" si="118"/>
        <v>0</v>
      </c>
      <c r="L224" s="71">
        <f t="shared" si="116"/>
        <v>1800</v>
      </c>
      <c r="M224" s="71">
        <f t="shared" si="119"/>
        <v>0</v>
      </c>
      <c r="N224" s="71"/>
      <c r="O224" s="71"/>
      <c r="P224" s="75">
        <f t="shared" si="120"/>
        <v>0</v>
      </c>
      <c r="Q224" s="74">
        <f t="shared" si="121"/>
        <v>0</v>
      </c>
      <c r="R224" s="74">
        <f t="shared" si="122"/>
        <v>0</v>
      </c>
      <c r="S224" s="76">
        <f t="shared" si="123"/>
        <v>0</v>
      </c>
    </row>
    <row r="225" spans="1:19" s="39" customFormat="1" ht="12.75" hidden="1">
      <c r="A225" s="69">
        <v>5</v>
      </c>
      <c r="B225" s="70"/>
      <c r="C225" s="71" t="s">
        <v>52</v>
      </c>
      <c r="D225" s="72">
        <f t="shared" si="117"/>
        <v>0</v>
      </c>
      <c r="E225" s="71"/>
      <c r="F225" s="71">
        <f t="shared" si="115"/>
        <v>0</v>
      </c>
      <c r="G225" s="71">
        <v>7570</v>
      </c>
      <c r="H225" s="73">
        <f t="shared" si="124"/>
        <v>0</v>
      </c>
      <c r="I225" s="73"/>
      <c r="J225" s="71"/>
      <c r="K225" s="74">
        <f t="shared" si="118"/>
        <v>0</v>
      </c>
      <c r="L225" s="71">
        <f t="shared" si="116"/>
        <v>1800</v>
      </c>
      <c r="M225" s="71">
        <f t="shared" si="119"/>
        <v>0</v>
      </c>
      <c r="N225" s="71"/>
      <c r="O225" s="71"/>
      <c r="P225" s="75">
        <f t="shared" si="120"/>
        <v>0</v>
      </c>
      <c r="Q225" s="74">
        <f t="shared" si="121"/>
        <v>0</v>
      </c>
      <c r="R225" s="74">
        <f t="shared" si="122"/>
        <v>0</v>
      </c>
      <c r="S225" s="76">
        <f t="shared" si="123"/>
        <v>0</v>
      </c>
    </row>
    <row r="226" spans="1:19" s="39" customFormat="1" ht="12.75" hidden="1">
      <c r="A226" s="69">
        <v>6</v>
      </c>
      <c r="B226" s="70"/>
      <c r="C226" s="71" t="s">
        <v>52</v>
      </c>
      <c r="D226" s="72">
        <f t="shared" si="117"/>
        <v>0</v>
      </c>
      <c r="E226" s="71"/>
      <c r="F226" s="71">
        <f t="shared" si="115"/>
        <v>0</v>
      </c>
      <c r="G226" s="71">
        <v>7570</v>
      </c>
      <c r="H226" s="73">
        <f t="shared" si="124"/>
        <v>0</v>
      </c>
      <c r="I226" s="73"/>
      <c r="J226" s="71"/>
      <c r="K226" s="74">
        <f t="shared" si="118"/>
        <v>0</v>
      </c>
      <c r="L226" s="71">
        <f t="shared" si="116"/>
        <v>1800</v>
      </c>
      <c r="M226" s="71">
        <f t="shared" si="119"/>
        <v>0</v>
      </c>
      <c r="N226" s="71"/>
      <c r="O226" s="71"/>
      <c r="P226" s="75">
        <f t="shared" si="120"/>
        <v>0</v>
      </c>
      <c r="Q226" s="74">
        <f t="shared" si="121"/>
        <v>0</v>
      </c>
      <c r="R226" s="74">
        <f t="shared" si="122"/>
        <v>0</v>
      </c>
      <c r="S226" s="76">
        <f t="shared" si="123"/>
        <v>0</v>
      </c>
    </row>
    <row r="227" spans="1:19" s="39" customFormat="1" ht="12.75" hidden="1">
      <c r="A227" s="69">
        <v>7</v>
      </c>
      <c r="B227" s="70"/>
      <c r="C227" s="71" t="s">
        <v>52</v>
      </c>
      <c r="D227" s="72">
        <f t="shared" si="117"/>
        <v>0</v>
      </c>
      <c r="E227" s="71"/>
      <c r="F227" s="71">
        <f t="shared" si="115"/>
        <v>0</v>
      </c>
      <c r="G227" s="71">
        <v>7570</v>
      </c>
      <c r="H227" s="73">
        <f t="shared" si="124"/>
        <v>0</v>
      </c>
      <c r="I227" s="73"/>
      <c r="J227" s="71"/>
      <c r="K227" s="74">
        <f t="shared" si="118"/>
        <v>0</v>
      </c>
      <c r="L227" s="71">
        <f t="shared" si="116"/>
        <v>1800</v>
      </c>
      <c r="M227" s="71">
        <f t="shared" si="119"/>
        <v>0</v>
      </c>
      <c r="N227" s="71"/>
      <c r="O227" s="71"/>
      <c r="P227" s="75">
        <f t="shared" si="120"/>
        <v>0</v>
      </c>
      <c r="Q227" s="74">
        <f t="shared" si="121"/>
        <v>0</v>
      </c>
      <c r="R227" s="74">
        <f t="shared" si="122"/>
        <v>0</v>
      </c>
      <c r="S227" s="76">
        <f t="shared" si="123"/>
        <v>0</v>
      </c>
    </row>
    <row r="228" spans="1:19" s="39" customFormat="1" ht="12.75" hidden="1">
      <c r="A228" s="69">
        <v>8</v>
      </c>
      <c r="B228" s="70"/>
      <c r="C228" s="71" t="s">
        <v>52</v>
      </c>
      <c r="D228" s="72">
        <f t="shared" si="117"/>
        <v>0</v>
      </c>
      <c r="E228" s="71"/>
      <c r="F228" s="71">
        <f t="shared" si="115"/>
        <v>0</v>
      </c>
      <c r="G228" s="71">
        <v>7570</v>
      </c>
      <c r="H228" s="73">
        <f t="shared" si="124"/>
        <v>0</v>
      </c>
      <c r="I228" s="73"/>
      <c r="J228" s="71"/>
      <c r="K228" s="74">
        <f t="shared" si="118"/>
        <v>0</v>
      </c>
      <c r="L228" s="71">
        <f t="shared" si="116"/>
        <v>1800</v>
      </c>
      <c r="M228" s="71">
        <f t="shared" si="119"/>
        <v>0</v>
      </c>
      <c r="N228" s="71"/>
      <c r="O228" s="71"/>
      <c r="P228" s="75">
        <f t="shared" si="120"/>
        <v>0</v>
      </c>
      <c r="Q228" s="74">
        <f t="shared" si="121"/>
        <v>0</v>
      </c>
      <c r="R228" s="74">
        <f t="shared" si="122"/>
        <v>0</v>
      </c>
      <c r="S228" s="76">
        <f t="shared" si="123"/>
        <v>0</v>
      </c>
    </row>
    <row r="229" spans="1:19" s="39" customFormat="1" ht="12.75" hidden="1">
      <c r="A229" s="69">
        <v>9</v>
      </c>
      <c r="B229" s="70"/>
      <c r="C229" s="71" t="s">
        <v>52</v>
      </c>
      <c r="D229" s="72">
        <f t="shared" si="117"/>
        <v>0</v>
      </c>
      <c r="E229" s="71"/>
      <c r="F229" s="71">
        <f t="shared" si="115"/>
        <v>0</v>
      </c>
      <c r="G229" s="71">
        <v>7570</v>
      </c>
      <c r="H229" s="73">
        <f t="shared" si="124"/>
        <v>0</v>
      </c>
      <c r="I229" s="73"/>
      <c r="J229" s="71"/>
      <c r="K229" s="74">
        <f t="shared" si="118"/>
        <v>0</v>
      </c>
      <c r="L229" s="71">
        <f t="shared" si="116"/>
        <v>1800</v>
      </c>
      <c r="M229" s="71">
        <f t="shared" si="119"/>
        <v>0</v>
      </c>
      <c r="N229" s="71"/>
      <c r="O229" s="71"/>
      <c r="P229" s="75">
        <f t="shared" si="120"/>
        <v>0</v>
      </c>
      <c r="Q229" s="74">
        <f t="shared" si="121"/>
        <v>0</v>
      </c>
      <c r="R229" s="74">
        <f t="shared" si="122"/>
        <v>0</v>
      </c>
      <c r="S229" s="76">
        <f t="shared" si="123"/>
        <v>0</v>
      </c>
    </row>
    <row r="230" spans="1:19" s="39" customFormat="1" ht="12.75" hidden="1">
      <c r="A230" s="69">
        <v>10</v>
      </c>
      <c r="B230" s="70"/>
      <c r="C230" s="71" t="s">
        <v>52</v>
      </c>
      <c r="D230" s="72">
        <f t="shared" si="117"/>
        <v>0</v>
      </c>
      <c r="E230" s="71"/>
      <c r="F230" s="71">
        <f t="shared" si="115"/>
        <v>0</v>
      </c>
      <c r="G230" s="71">
        <v>7570</v>
      </c>
      <c r="H230" s="73">
        <f t="shared" si="124"/>
        <v>0</v>
      </c>
      <c r="I230" s="73"/>
      <c r="J230" s="71"/>
      <c r="K230" s="74">
        <f t="shared" si="118"/>
        <v>0</v>
      </c>
      <c r="L230" s="71">
        <f t="shared" si="116"/>
        <v>1800</v>
      </c>
      <c r="M230" s="71">
        <f t="shared" si="119"/>
        <v>0</v>
      </c>
      <c r="N230" s="71"/>
      <c r="O230" s="71"/>
      <c r="P230" s="75">
        <f t="shared" si="120"/>
        <v>0</v>
      </c>
      <c r="Q230" s="74">
        <f t="shared" si="121"/>
        <v>0</v>
      </c>
      <c r="R230" s="74">
        <f t="shared" si="122"/>
        <v>0</v>
      </c>
      <c r="S230" s="76">
        <f t="shared" si="123"/>
        <v>0</v>
      </c>
    </row>
    <row r="231" spans="1:19" s="39" customFormat="1" ht="13.5" hidden="1" thickBot="1">
      <c r="A231" s="113"/>
      <c r="B231" s="114"/>
      <c r="C231" s="114"/>
      <c r="D231" s="114" t="s">
        <v>53</v>
      </c>
      <c r="E231" s="114"/>
      <c r="F231" s="115">
        <f>SUM(F221:F230)</f>
        <v>0</v>
      </c>
      <c r="G231" s="114"/>
      <c r="H231" s="114"/>
      <c r="I231" s="114"/>
      <c r="J231" s="114"/>
      <c r="K231" s="116"/>
      <c r="L231" s="114"/>
      <c r="M231" s="117">
        <f>SUM(M221:M230)</f>
        <v>0</v>
      </c>
      <c r="N231" s="117">
        <f>SUM(N221:N230)</f>
        <v>0</v>
      </c>
      <c r="O231" s="117">
        <f>SUM(O221:O230)</f>
        <v>0</v>
      </c>
      <c r="P231" s="114"/>
      <c r="Q231" s="115">
        <f>SUM(Q221:Q230)</f>
        <v>0</v>
      </c>
      <c r="R231" s="115">
        <f>SUM(R221:R230)</f>
        <v>0</v>
      </c>
      <c r="S231" s="143">
        <f>SUM(S221:S230)</f>
        <v>0</v>
      </c>
    </row>
    <row r="232" spans="1:19" s="39" customFormat="1" ht="12.75" hidden="1">
      <c r="A232" s="118"/>
      <c r="B232" s="92"/>
      <c r="C232" s="92"/>
      <c r="D232" s="92"/>
      <c r="E232" s="92"/>
      <c r="F232" s="93"/>
      <c r="G232" s="92"/>
      <c r="H232" s="92"/>
      <c r="I232" s="92"/>
      <c r="J232" s="92"/>
      <c r="K232" s="94"/>
      <c r="L232" s="92"/>
      <c r="M232" s="95"/>
      <c r="N232" s="95">
        <f>доходы!C23</f>
        <v>0</v>
      </c>
      <c r="O232" s="96" t="s">
        <v>116</v>
      </c>
      <c r="P232" s="119"/>
      <c r="Q232" s="120"/>
      <c r="R232" s="121"/>
      <c r="S232" s="136"/>
    </row>
    <row r="233" spans="1:19" s="39" customFormat="1" ht="12.75" hidden="1">
      <c r="A233" s="137" t="s">
        <v>127</v>
      </c>
      <c r="B233" s="138" t="str">
        <f>доходы!B24</f>
        <v>услуга 13</v>
      </c>
      <c r="C233" s="92"/>
      <c r="D233" s="92"/>
      <c r="E233" s="92"/>
      <c r="F233" s="139"/>
      <c r="G233" s="139"/>
      <c r="H233" s="139"/>
      <c r="I233" s="139"/>
      <c r="J233" s="139"/>
      <c r="K233" s="140"/>
      <c r="L233" s="139"/>
      <c r="M233" s="139"/>
      <c r="N233" s="139"/>
      <c r="O233" s="139"/>
      <c r="P233" s="139"/>
      <c r="Q233" s="139"/>
      <c r="R233" s="139"/>
      <c r="S233" s="141"/>
    </row>
    <row r="234" spans="1:19" s="39" customFormat="1" ht="13.5" hidden="1" thickBot="1">
      <c r="A234" s="142"/>
      <c r="B234" s="139"/>
      <c r="C234" s="139"/>
      <c r="D234" s="139"/>
      <c r="E234" s="139"/>
      <c r="F234" s="139"/>
      <c r="G234" s="139"/>
      <c r="H234" s="139"/>
      <c r="I234" s="139"/>
      <c r="J234" s="139"/>
      <c r="K234" s="140"/>
      <c r="L234" s="139"/>
      <c r="M234" s="139"/>
      <c r="N234" s="139"/>
      <c r="O234" s="139"/>
      <c r="P234" s="139"/>
      <c r="Q234" s="139"/>
      <c r="R234" s="139"/>
      <c r="S234" s="141"/>
    </row>
    <row r="235" spans="1:19" s="39" customFormat="1" ht="51.75" hidden="1" thickBot="1">
      <c r="A235" s="99" t="s">
        <v>1</v>
      </c>
      <c r="B235" s="99" t="s">
        <v>2</v>
      </c>
      <c r="C235" s="99" t="s">
        <v>8</v>
      </c>
      <c r="D235" s="99" t="s">
        <v>3</v>
      </c>
      <c r="E235" s="99" t="s">
        <v>4</v>
      </c>
      <c r="F235" s="99" t="s">
        <v>5</v>
      </c>
      <c r="G235" s="99" t="s">
        <v>64</v>
      </c>
      <c r="H235" s="99" t="s">
        <v>117</v>
      </c>
      <c r="I235" s="99" t="s">
        <v>99</v>
      </c>
      <c r="J235" s="99" t="s">
        <v>65</v>
      </c>
      <c r="K235" s="100" t="s">
        <v>66</v>
      </c>
      <c r="L235" s="99" t="s">
        <v>67</v>
      </c>
      <c r="M235" s="99" t="s">
        <v>6</v>
      </c>
      <c r="N235" s="99" t="s">
        <v>54</v>
      </c>
      <c r="O235" s="99" t="s">
        <v>7</v>
      </c>
      <c r="P235" s="99" t="s">
        <v>48</v>
      </c>
      <c r="Q235" s="99" t="s">
        <v>49</v>
      </c>
      <c r="R235" s="99" t="s">
        <v>50</v>
      </c>
      <c r="S235" s="99" t="s">
        <v>51</v>
      </c>
    </row>
    <row r="236" spans="1:19" s="39" customFormat="1" ht="12.75" hidden="1">
      <c r="A236" s="101">
        <v>1</v>
      </c>
      <c r="B236" s="102">
        <v>2</v>
      </c>
      <c r="C236" s="102">
        <v>3</v>
      </c>
      <c r="D236" s="102">
        <v>4</v>
      </c>
      <c r="E236" s="102">
        <v>5</v>
      </c>
      <c r="F236" s="102">
        <v>6</v>
      </c>
      <c r="G236" s="102">
        <v>7</v>
      </c>
      <c r="H236" s="102">
        <v>8</v>
      </c>
      <c r="I236" s="102">
        <v>9</v>
      </c>
      <c r="J236" s="102">
        <v>10</v>
      </c>
      <c r="K236" s="104">
        <v>11</v>
      </c>
      <c r="L236" s="102">
        <v>12</v>
      </c>
      <c r="M236" s="102">
        <v>13</v>
      </c>
      <c r="N236" s="102">
        <v>14</v>
      </c>
      <c r="O236" s="102">
        <v>15</v>
      </c>
      <c r="P236" s="102">
        <v>16</v>
      </c>
      <c r="Q236" s="102">
        <v>17</v>
      </c>
      <c r="R236" s="102">
        <v>18</v>
      </c>
      <c r="S236" s="105">
        <v>19</v>
      </c>
    </row>
    <row r="237" spans="1:19" s="39" customFormat="1" ht="12.75" hidden="1">
      <c r="A237" s="69">
        <v>1</v>
      </c>
      <c r="B237" s="70" t="s">
        <v>118</v>
      </c>
      <c r="C237" s="71" t="s">
        <v>52</v>
      </c>
      <c r="D237" s="72" t="str">
        <f>B$233</f>
        <v>услуга 13</v>
      </c>
      <c r="E237" s="71"/>
      <c r="F237" s="71">
        <f aca="true" t="shared" si="125" ref="F237:F246">ROUND(O237/18/4,2)</f>
        <v>0</v>
      </c>
      <c r="G237" s="71">
        <v>7570</v>
      </c>
      <c r="H237" s="73">
        <v>0.15</v>
      </c>
      <c r="I237" s="73">
        <v>0</v>
      </c>
      <c r="J237" s="71"/>
      <c r="K237" s="74">
        <f>(G237+G237*(H237+I237))*J237</f>
        <v>0</v>
      </c>
      <c r="L237" s="71">
        <f aca="true" t="shared" si="126" ref="L237:L246">18*25*4</f>
        <v>1800</v>
      </c>
      <c r="M237" s="71">
        <f>N237*O237</f>
        <v>0</v>
      </c>
      <c r="N237" s="71"/>
      <c r="O237" s="71"/>
      <c r="P237" s="75">
        <f>ROUND(K237/L237,2)</f>
        <v>0</v>
      </c>
      <c r="Q237" s="74">
        <f>N237*O237*P237</f>
        <v>0</v>
      </c>
      <c r="R237" s="74">
        <f>Q237*0.15</f>
        <v>0</v>
      </c>
      <c r="S237" s="76">
        <f>Q237+R237</f>
        <v>0</v>
      </c>
    </row>
    <row r="238" spans="1:19" s="39" customFormat="1" ht="12.75" hidden="1">
      <c r="A238" s="69">
        <v>2</v>
      </c>
      <c r="B238" s="70"/>
      <c r="C238" s="71" t="s">
        <v>52</v>
      </c>
      <c r="D238" s="72" t="str">
        <f aca="true" t="shared" si="127" ref="D238:D246">B$233</f>
        <v>услуга 13</v>
      </c>
      <c r="E238" s="71"/>
      <c r="F238" s="71">
        <f t="shared" si="125"/>
        <v>0</v>
      </c>
      <c r="G238" s="71">
        <v>7570</v>
      </c>
      <c r="H238" s="73">
        <f>H$24</f>
        <v>0</v>
      </c>
      <c r="I238" s="73">
        <v>0</v>
      </c>
      <c r="J238" s="71"/>
      <c r="K238" s="74">
        <f aca="true" t="shared" si="128" ref="K238:K246">(G238+G238*(H238+I238))*J238</f>
        <v>0</v>
      </c>
      <c r="L238" s="71">
        <f t="shared" si="126"/>
        <v>1800</v>
      </c>
      <c r="M238" s="71">
        <f aca="true" t="shared" si="129" ref="M238:M246">N238*O238</f>
        <v>0</v>
      </c>
      <c r="N238" s="71"/>
      <c r="O238" s="71"/>
      <c r="P238" s="75">
        <f aca="true" t="shared" si="130" ref="P238:P246">ROUND(K238/L238,2)</f>
        <v>0</v>
      </c>
      <c r="Q238" s="74">
        <f aca="true" t="shared" si="131" ref="Q238:Q246">N238*O238*P238</f>
        <v>0</v>
      </c>
      <c r="R238" s="74">
        <f aca="true" t="shared" si="132" ref="R238:R246">Q238*0.15</f>
        <v>0</v>
      </c>
      <c r="S238" s="76">
        <f aca="true" t="shared" si="133" ref="S238:S246">Q238+R238</f>
        <v>0</v>
      </c>
    </row>
    <row r="239" spans="1:19" s="39" customFormat="1" ht="12.75" hidden="1">
      <c r="A239" s="69">
        <v>3</v>
      </c>
      <c r="B239" s="70"/>
      <c r="C239" s="71" t="s">
        <v>52</v>
      </c>
      <c r="D239" s="72" t="str">
        <f t="shared" si="127"/>
        <v>услуга 13</v>
      </c>
      <c r="E239" s="71"/>
      <c r="F239" s="71">
        <f t="shared" si="125"/>
        <v>0</v>
      </c>
      <c r="G239" s="71">
        <v>7570</v>
      </c>
      <c r="H239" s="73">
        <f aca="true" t="shared" si="134" ref="H239:H246">H$24</f>
        <v>0</v>
      </c>
      <c r="I239" s="73"/>
      <c r="J239" s="71"/>
      <c r="K239" s="74">
        <f t="shared" si="128"/>
        <v>0</v>
      </c>
      <c r="L239" s="71">
        <f t="shared" si="126"/>
        <v>1800</v>
      </c>
      <c r="M239" s="71">
        <f t="shared" si="129"/>
        <v>0</v>
      </c>
      <c r="N239" s="71"/>
      <c r="O239" s="71"/>
      <c r="P239" s="75">
        <f t="shared" si="130"/>
        <v>0</v>
      </c>
      <c r="Q239" s="74">
        <f t="shared" si="131"/>
        <v>0</v>
      </c>
      <c r="R239" s="74">
        <f t="shared" si="132"/>
        <v>0</v>
      </c>
      <c r="S239" s="76">
        <f t="shared" si="133"/>
        <v>0</v>
      </c>
    </row>
    <row r="240" spans="1:19" s="39" customFormat="1" ht="12.75" hidden="1">
      <c r="A240" s="69">
        <v>4</v>
      </c>
      <c r="B240" s="70"/>
      <c r="C240" s="71" t="s">
        <v>52</v>
      </c>
      <c r="D240" s="72" t="str">
        <f t="shared" si="127"/>
        <v>услуга 13</v>
      </c>
      <c r="E240" s="71"/>
      <c r="F240" s="71">
        <f t="shared" si="125"/>
        <v>0</v>
      </c>
      <c r="G240" s="71">
        <v>7570</v>
      </c>
      <c r="H240" s="73">
        <f t="shared" si="134"/>
        <v>0</v>
      </c>
      <c r="I240" s="73"/>
      <c r="J240" s="71"/>
      <c r="K240" s="74">
        <f t="shared" si="128"/>
        <v>0</v>
      </c>
      <c r="L240" s="71">
        <f t="shared" si="126"/>
        <v>1800</v>
      </c>
      <c r="M240" s="71">
        <f t="shared" si="129"/>
        <v>0</v>
      </c>
      <c r="N240" s="71"/>
      <c r="O240" s="71"/>
      <c r="P240" s="75">
        <f t="shared" si="130"/>
        <v>0</v>
      </c>
      <c r="Q240" s="74">
        <f t="shared" si="131"/>
        <v>0</v>
      </c>
      <c r="R240" s="74">
        <f t="shared" si="132"/>
        <v>0</v>
      </c>
      <c r="S240" s="76">
        <f t="shared" si="133"/>
        <v>0</v>
      </c>
    </row>
    <row r="241" spans="1:19" s="39" customFormat="1" ht="12.75" hidden="1">
      <c r="A241" s="69">
        <v>5</v>
      </c>
      <c r="B241" s="70"/>
      <c r="C241" s="71" t="s">
        <v>52</v>
      </c>
      <c r="D241" s="72" t="str">
        <f t="shared" si="127"/>
        <v>услуга 13</v>
      </c>
      <c r="E241" s="71"/>
      <c r="F241" s="71">
        <f t="shared" si="125"/>
        <v>0</v>
      </c>
      <c r="G241" s="71">
        <v>7570</v>
      </c>
      <c r="H241" s="73">
        <f t="shared" si="134"/>
        <v>0</v>
      </c>
      <c r="I241" s="73"/>
      <c r="J241" s="71"/>
      <c r="K241" s="74">
        <f t="shared" si="128"/>
        <v>0</v>
      </c>
      <c r="L241" s="71">
        <f t="shared" si="126"/>
        <v>1800</v>
      </c>
      <c r="M241" s="71">
        <f t="shared" si="129"/>
        <v>0</v>
      </c>
      <c r="N241" s="71"/>
      <c r="O241" s="71"/>
      <c r="P241" s="75">
        <f t="shared" si="130"/>
        <v>0</v>
      </c>
      <c r="Q241" s="74">
        <f t="shared" si="131"/>
        <v>0</v>
      </c>
      <c r="R241" s="74">
        <f t="shared" si="132"/>
        <v>0</v>
      </c>
      <c r="S241" s="76">
        <f t="shared" si="133"/>
        <v>0</v>
      </c>
    </row>
    <row r="242" spans="1:19" s="39" customFormat="1" ht="12.75" hidden="1">
      <c r="A242" s="69">
        <v>6</v>
      </c>
      <c r="B242" s="70"/>
      <c r="C242" s="71" t="s">
        <v>52</v>
      </c>
      <c r="D242" s="72" t="str">
        <f t="shared" si="127"/>
        <v>услуга 13</v>
      </c>
      <c r="E242" s="71"/>
      <c r="F242" s="71">
        <f t="shared" si="125"/>
        <v>0</v>
      </c>
      <c r="G242" s="71">
        <v>7570</v>
      </c>
      <c r="H242" s="73">
        <f t="shared" si="134"/>
        <v>0</v>
      </c>
      <c r="I242" s="73"/>
      <c r="J242" s="71"/>
      <c r="K242" s="74">
        <f t="shared" si="128"/>
        <v>0</v>
      </c>
      <c r="L242" s="71">
        <f t="shared" si="126"/>
        <v>1800</v>
      </c>
      <c r="M242" s="71">
        <f t="shared" si="129"/>
        <v>0</v>
      </c>
      <c r="N242" s="71"/>
      <c r="O242" s="71"/>
      <c r="P242" s="75">
        <f t="shared" si="130"/>
        <v>0</v>
      </c>
      <c r="Q242" s="74">
        <f t="shared" si="131"/>
        <v>0</v>
      </c>
      <c r="R242" s="74">
        <f t="shared" si="132"/>
        <v>0</v>
      </c>
      <c r="S242" s="76">
        <f t="shared" si="133"/>
        <v>0</v>
      </c>
    </row>
    <row r="243" spans="1:19" s="39" customFormat="1" ht="12.75" hidden="1">
      <c r="A243" s="69">
        <v>7</v>
      </c>
      <c r="B243" s="70"/>
      <c r="C243" s="71" t="s">
        <v>52</v>
      </c>
      <c r="D243" s="72" t="str">
        <f t="shared" si="127"/>
        <v>услуга 13</v>
      </c>
      <c r="E243" s="71"/>
      <c r="F243" s="71">
        <f t="shared" si="125"/>
        <v>0</v>
      </c>
      <c r="G243" s="71">
        <v>7570</v>
      </c>
      <c r="H243" s="73">
        <f t="shared" si="134"/>
        <v>0</v>
      </c>
      <c r="I243" s="73"/>
      <c r="J243" s="71"/>
      <c r="K243" s="74">
        <f t="shared" si="128"/>
        <v>0</v>
      </c>
      <c r="L243" s="71">
        <f t="shared" si="126"/>
        <v>1800</v>
      </c>
      <c r="M243" s="71">
        <f t="shared" si="129"/>
        <v>0</v>
      </c>
      <c r="N243" s="71"/>
      <c r="O243" s="71"/>
      <c r="P243" s="75">
        <f t="shared" si="130"/>
        <v>0</v>
      </c>
      <c r="Q243" s="74">
        <f t="shared" si="131"/>
        <v>0</v>
      </c>
      <c r="R243" s="74">
        <f t="shared" si="132"/>
        <v>0</v>
      </c>
      <c r="S243" s="76">
        <f t="shared" si="133"/>
        <v>0</v>
      </c>
    </row>
    <row r="244" spans="1:19" s="39" customFormat="1" ht="12.75" hidden="1">
      <c r="A244" s="69">
        <v>8</v>
      </c>
      <c r="B244" s="70"/>
      <c r="C244" s="71" t="s">
        <v>52</v>
      </c>
      <c r="D244" s="72" t="str">
        <f t="shared" si="127"/>
        <v>услуга 13</v>
      </c>
      <c r="E244" s="71"/>
      <c r="F244" s="71">
        <f t="shared" si="125"/>
        <v>0</v>
      </c>
      <c r="G244" s="71">
        <v>7570</v>
      </c>
      <c r="H244" s="73">
        <f t="shared" si="134"/>
        <v>0</v>
      </c>
      <c r="I244" s="73"/>
      <c r="J244" s="71"/>
      <c r="K244" s="74">
        <f t="shared" si="128"/>
        <v>0</v>
      </c>
      <c r="L244" s="71">
        <f t="shared" si="126"/>
        <v>1800</v>
      </c>
      <c r="M244" s="71">
        <f t="shared" si="129"/>
        <v>0</v>
      </c>
      <c r="N244" s="71"/>
      <c r="O244" s="71"/>
      <c r="P244" s="75">
        <f t="shared" si="130"/>
        <v>0</v>
      </c>
      <c r="Q244" s="74">
        <f t="shared" si="131"/>
        <v>0</v>
      </c>
      <c r="R244" s="74">
        <f t="shared" si="132"/>
        <v>0</v>
      </c>
      <c r="S244" s="76">
        <f t="shared" si="133"/>
        <v>0</v>
      </c>
    </row>
    <row r="245" spans="1:19" s="39" customFormat="1" ht="12.75" hidden="1">
      <c r="A245" s="69">
        <v>9</v>
      </c>
      <c r="B245" s="70"/>
      <c r="C245" s="71" t="s">
        <v>52</v>
      </c>
      <c r="D245" s="72" t="str">
        <f t="shared" si="127"/>
        <v>услуга 13</v>
      </c>
      <c r="E245" s="71"/>
      <c r="F245" s="71">
        <f t="shared" si="125"/>
        <v>0</v>
      </c>
      <c r="G245" s="71">
        <v>7570</v>
      </c>
      <c r="H245" s="73">
        <f t="shared" si="134"/>
        <v>0</v>
      </c>
      <c r="I245" s="73"/>
      <c r="J245" s="71"/>
      <c r="K245" s="74">
        <f t="shared" si="128"/>
        <v>0</v>
      </c>
      <c r="L245" s="71">
        <f t="shared" si="126"/>
        <v>1800</v>
      </c>
      <c r="M245" s="71">
        <f t="shared" si="129"/>
        <v>0</v>
      </c>
      <c r="N245" s="71"/>
      <c r="O245" s="71"/>
      <c r="P245" s="75">
        <f t="shared" si="130"/>
        <v>0</v>
      </c>
      <c r="Q245" s="74">
        <f t="shared" si="131"/>
        <v>0</v>
      </c>
      <c r="R245" s="74">
        <f t="shared" si="132"/>
        <v>0</v>
      </c>
      <c r="S245" s="76">
        <f t="shared" si="133"/>
        <v>0</v>
      </c>
    </row>
    <row r="246" spans="1:19" s="39" customFormat="1" ht="12.75" hidden="1">
      <c r="A246" s="69">
        <v>10</v>
      </c>
      <c r="B246" s="70"/>
      <c r="C246" s="71" t="s">
        <v>52</v>
      </c>
      <c r="D246" s="72" t="str">
        <f t="shared" si="127"/>
        <v>услуга 13</v>
      </c>
      <c r="E246" s="71"/>
      <c r="F246" s="71">
        <f t="shared" si="125"/>
        <v>0</v>
      </c>
      <c r="G246" s="71">
        <v>7570</v>
      </c>
      <c r="H246" s="73">
        <f t="shared" si="134"/>
        <v>0</v>
      </c>
      <c r="I246" s="73"/>
      <c r="J246" s="71"/>
      <c r="K246" s="74">
        <f t="shared" si="128"/>
        <v>0</v>
      </c>
      <c r="L246" s="71">
        <f t="shared" si="126"/>
        <v>1800</v>
      </c>
      <c r="M246" s="71">
        <f t="shared" si="129"/>
        <v>0</v>
      </c>
      <c r="N246" s="71"/>
      <c r="O246" s="71"/>
      <c r="P246" s="75">
        <f t="shared" si="130"/>
        <v>0</v>
      </c>
      <c r="Q246" s="74">
        <f t="shared" si="131"/>
        <v>0</v>
      </c>
      <c r="R246" s="74">
        <f t="shared" si="132"/>
        <v>0</v>
      </c>
      <c r="S246" s="76">
        <f t="shared" si="133"/>
        <v>0</v>
      </c>
    </row>
    <row r="247" spans="1:19" s="39" customFormat="1" ht="13.5" hidden="1" thickBot="1">
      <c r="A247" s="113"/>
      <c r="B247" s="114"/>
      <c r="C247" s="114"/>
      <c r="D247" s="114" t="s">
        <v>53</v>
      </c>
      <c r="E247" s="114"/>
      <c r="F247" s="115">
        <f>SUM(F237:F246)</f>
        <v>0</v>
      </c>
      <c r="G247" s="114"/>
      <c r="H247" s="114"/>
      <c r="I247" s="114"/>
      <c r="J247" s="114"/>
      <c r="K247" s="116"/>
      <c r="L247" s="114"/>
      <c r="M247" s="117">
        <f>SUM(M237:M246)</f>
        <v>0</v>
      </c>
      <c r="N247" s="117">
        <f>SUM(N237:N246)</f>
        <v>0</v>
      </c>
      <c r="O247" s="117">
        <f>SUM(O237:O246)</f>
        <v>0</v>
      </c>
      <c r="P247" s="114"/>
      <c r="Q247" s="115">
        <f>SUM(Q237:Q246)</f>
        <v>0</v>
      </c>
      <c r="R247" s="115">
        <f>SUM(R237:R246)</f>
        <v>0</v>
      </c>
      <c r="S247" s="143">
        <f>SUM(S237:S246)</f>
        <v>0</v>
      </c>
    </row>
    <row r="248" spans="1:19" s="39" customFormat="1" ht="12.75" hidden="1">
      <c r="A248" s="118"/>
      <c r="B248" s="92"/>
      <c r="C248" s="92"/>
      <c r="D248" s="92"/>
      <c r="E248" s="92"/>
      <c r="F248" s="93"/>
      <c r="G248" s="92"/>
      <c r="H248" s="92"/>
      <c r="I248" s="92"/>
      <c r="J248" s="92"/>
      <c r="K248" s="94"/>
      <c r="L248" s="92"/>
      <c r="M248" s="95"/>
      <c r="N248" s="95">
        <f>доходы!C24</f>
        <v>0</v>
      </c>
      <c r="O248" s="96" t="s">
        <v>116</v>
      </c>
      <c r="P248" s="119"/>
      <c r="Q248" s="120"/>
      <c r="R248" s="121"/>
      <c r="S248" s="136"/>
    </row>
    <row r="249" spans="1:19" s="39" customFormat="1" ht="12.75" hidden="1">
      <c r="A249" s="137" t="s">
        <v>128</v>
      </c>
      <c r="B249" s="138" t="str">
        <f>доходы!B25</f>
        <v>услуга 14</v>
      </c>
      <c r="C249" s="92"/>
      <c r="D249" s="92"/>
      <c r="E249" s="92"/>
      <c r="F249" s="139"/>
      <c r="G249" s="139"/>
      <c r="H249" s="139"/>
      <c r="I249" s="139"/>
      <c r="J249" s="139"/>
      <c r="K249" s="140"/>
      <c r="L249" s="139"/>
      <c r="M249" s="139"/>
      <c r="N249" s="139"/>
      <c r="O249" s="139"/>
      <c r="P249" s="139"/>
      <c r="Q249" s="139"/>
      <c r="R249" s="139"/>
      <c r="S249" s="141"/>
    </row>
    <row r="250" spans="1:19" s="39" customFormat="1" ht="13.5" hidden="1" thickBot="1">
      <c r="A250" s="142"/>
      <c r="B250" s="139"/>
      <c r="C250" s="139"/>
      <c r="D250" s="139"/>
      <c r="E250" s="139"/>
      <c r="F250" s="139"/>
      <c r="G250" s="139"/>
      <c r="H250" s="139"/>
      <c r="I250" s="139"/>
      <c r="J250" s="139"/>
      <c r="K250" s="140"/>
      <c r="L250" s="139"/>
      <c r="M250" s="139"/>
      <c r="N250" s="139"/>
      <c r="O250" s="139"/>
      <c r="P250" s="139"/>
      <c r="Q250" s="139"/>
      <c r="R250" s="139"/>
      <c r="S250" s="141"/>
    </row>
    <row r="251" spans="1:19" s="39" customFormat="1" ht="51.75" hidden="1" thickBot="1">
      <c r="A251" s="99" t="s">
        <v>1</v>
      </c>
      <c r="B251" s="99" t="s">
        <v>2</v>
      </c>
      <c r="C251" s="99" t="s">
        <v>8</v>
      </c>
      <c r="D251" s="99" t="s">
        <v>3</v>
      </c>
      <c r="E251" s="99" t="s">
        <v>4</v>
      </c>
      <c r="F251" s="99" t="s">
        <v>5</v>
      </c>
      <c r="G251" s="99" t="s">
        <v>64</v>
      </c>
      <c r="H251" s="99" t="s">
        <v>117</v>
      </c>
      <c r="I251" s="99" t="s">
        <v>99</v>
      </c>
      <c r="J251" s="99" t="s">
        <v>65</v>
      </c>
      <c r="K251" s="100" t="s">
        <v>66</v>
      </c>
      <c r="L251" s="99" t="s">
        <v>67</v>
      </c>
      <c r="M251" s="99" t="s">
        <v>6</v>
      </c>
      <c r="N251" s="99" t="s">
        <v>54</v>
      </c>
      <c r="O251" s="99" t="s">
        <v>7</v>
      </c>
      <c r="P251" s="99" t="s">
        <v>48</v>
      </c>
      <c r="Q251" s="99" t="s">
        <v>49</v>
      </c>
      <c r="R251" s="99" t="s">
        <v>50</v>
      </c>
      <c r="S251" s="99" t="s">
        <v>51</v>
      </c>
    </row>
    <row r="252" spans="1:19" s="39" customFormat="1" ht="12.75" hidden="1">
      <c r="A252" s="101">
        <v>1</v>
      </c>
      <c r="B252" s="102">
        <v>2</v>
      </c>
      <c r="C252" s="102">
        <v>3</v>
      </c>
      <c r="D252" s="102">
        <v>4</v>
      </c>
      <c r="E252" s="102">
        <v>5</v>
      </c>
      <c r="F252" s="102">
        <v>6</v>
      </c>
      <c r="G252" s="102">
        <v>7</v>
      </c>
      <c r="H252" s="102">
        <v>8</v>
      </c>
      <c r="I252" s="102">
        <v>9</v>
      </c>
      <c r="J252" s="102">
        <v>10</v>
      </c>
      <c r="K252" s="104">
        <v>11</v>
      </c>
      <c r="L252" s="102">
        <v>12</v>
      </c>
      <c r="M252" s="102">
        <v>13</v>
      </c>
      <c r="N252" s="102">
        <v>14</v>
      </c>
      <c r="O252" s="102">
        <v>15</v>
      </c>
      <c r="P252" s="102">
        <v>16</v>
      </c>
      <c r="Q252" s="102">
        <v>17</v>
      </c>
      <c r="R252" s="102">
        <v>18</v>
      </c>
      <c r="S252" s="105">
        <v>19</v>
      </c>
    </row>
    <row r="253" spans="1:19" s="39" customFormat="1" ht="12.75" hidden="1">
      <c r="A253" s="69">
        <v>1</v>
      </c>
      <c r="B253" s="70" t="s">
        <v>118</v>
      </c>
      <c r="C253" s="71" t="s">
        <v>52</v>
      </c>
      <c r="D253" s="72" t="str">
        <f>B$249</f>
        <v>услуга 14</v>
      </c>
      <c r="E253" s="71"/>
      <c r="F253" s="71">
        <f aca="true" t="shared" si="135" ref="F253:F262">ROUND(O253/18/4,2)</f>
        <v>0</v>
      </c>
      <c r="G253" s="71">
        <v>7570</v>
      </c>
      <c r="H253" s="73">
        <v>0.15</v>
      </c>
      <c r="I253" s="73">
        <v>0</v>
      </c>
      <c r="J253" s="71"/>
      <c r="K253" s="74">
        <f>(G253+G253*(H253+I253))*J253</f>
        <v>0</v>
      </c>
      <c r="L253" s="71">
        <f aca="true" t="shared" si="136" ref="L253:L262">18*25*4</f>
        <v>1800</v>
      </c>
      <c r="M253" s="71">
        <f>N253*O253</f>
        <v>0</v>
      </c>
      <c r="N253" s="71"/>
      <c r="O253" s="71"/>
      <c r="P253" s="75">
        <f>ROUND(K253/L253,2)</f>
        <v>0</v>
      </c>
      <c r="Q253" s="74">
        <f>N253*O253*P253</f>
        <v>0</v>
      </c>
      <c r="R253" s="74">
        <f>Q253*0.15</f>
        <v>0</v>
      </c>
      <c r="S253" s="76">
        <f>Q253+R253</f>
        <v>0</v>
      </c>
    </row>
    <row r="254" spans="1:19" s="39" customFormat="1" ht="12.75" hidden="1">
      <c r="A254" s="69">
        <v>2</v>
      </c>
      <c r="B254" s="70"/>
      <c r="C254" s="71" t="s">
        <v>52</v>
      </c>
      <c r="D254" s="72" t="str">
        <f aca="true" t="shared" si="137" ref="D254:D262">B$249</f>
        <v>услуга 14</v>
      </c>
      <c r="E254" s="71"/>
      <c r="F254" s="71">
        <f t="shared" si="135"/>
        <v>0</v>
      </c>
      <c r="G254" s="71">
        <v>7570</v>
      </c>
      <c r="H254" s="73">
        <f>H$24</f>
        <v>0</v>
      </c>
      <c r="I254" s="73">
        <v>0</v>
      </c>
      <c r="J254" s="71"/>
      <c r="K254" s="74">
        <f aca="true" t="shared" si="138" ref="K254:K262">(G254+G254*(H254+I254))*J254</f>
        <v>0</v>
      </c>
      <c r="L254" s="71">
        <f t="shared" si="136"/>
        <v>1800</v>
      </c>
      <c r="M254" s="71">
        <f aca="true" t="shared" si="139" ref="M254:M262">N254*O254</f>
        <v>0</v>
      </c>
      <c r="N254" s="71"/>
      <c r="O254" s="71"/>
      <c r="P254" s="75">
        <f aca="true" t="shared" si="140" ref="P254:P262">ROUND(K254/L254,2)</f>
        <v>0</v>
      </c>
      <c r="Q254" s="74">
        <f aca="true" t="shared" si="141" ref="Q254:Q262">N254*O254*P254</f>
        <v>0</v>
      </c>
      <c r="R254" s="74">
        <f aca="true" t="shared" si="142" ref="R254:R262">Q254*0.15</f>
        <v>0</v>
      </c>
      <c r="S254" s="76">
        <f aca="true" t="shared" si="143" ref="S254:S262">Q254+R254</f>
        <v>0</v>
      </c>
    </row>
    <row r="255" spans="1:19" s="39" customFormat="1" ht="12.75" hidden="1">
      <c r="A255" s="69">
        <v>3</v>
      </c>
      <c r="B255" s="70"/>
      <c r="C255" s="71" t="s">
        <v>52</v>
      </c>
      <c r="D255" s="72" t="str">
        <f t="shared" si="137"/>
        <v>услуга 14</v>
      </c>
      <c r="E255" s="71"/>
      <c r="F255" s="71">
        <f t="shared" si="135"/>
        <v>0</v>
      </c>
      <c r="G255" s="71">
        <v>7570</v>
      </c>
      <c r="H255" s="73">
        <f aca="true" t="shared" si="144" ref="H255:H262">H$24</f>
        <v>0</v>
      </c>
      <c r="I255" s="73"/>
      <c r="J255" s="71"/>
      <c r="K255" s="74">
        <f t="shared" si="138"/>
        <v>0</v>
      </c>
      <c r="L255" s="71">
        <f t="shared" si="136"/>
        <v>1800</v>
      </c>
      <c r="M255" s="71">
        <f t="shared" si="139"/>
        <v>0</v>
      </c>
      <c r="N255" s="71"/>
      <c r="O255" s="71"/>
      <c r="P255" s="75">
        <f t="shared" si="140"/>
        <v>0</v>
      </c>
      <c r="Q255" s="74">
        <f t="shared" si="141"/>
        <v>0</v>
      </c>
      <c r="R255" s="74">
        <f t="shared" si="142"/>
        <v>0</v>
      </c>
      <c r="S255" s="76">
        <f t="shared" si="143"/>
        <v>0</v>
      </c>
    </row>
    <row r="256" spans="1:19" s="39" customFormat="1" ht="12.75" hidden="1">
      <c r="A256" s="69">
        <v>4</v>
      </c>
      <c r="B256" s="70"/>
      <c r="C256" s="71" t="s">
        <v>52</v>
      </c>
      <c r="D256" s="72" t="str">
        <f t="shared" si="137"/>
        <v>услуга 14</v>
      </c>
      <c r="E256" s="71"/>
      <c r="F256" s="71">
        <f t="shared" si="135"/>
        <v>0</v>
      </c>
      <c r="G256" s="71">
        <v>7570</v>
      </c>
      <c r="H256" s="73">
        <f t="shared" si="144"/>
        <v>0</v>
      </c>
      <c r="I256" s="73"/>
      <c r="J256" s="71"/>
      <c r="K256" s="74">
        <f t="shared" si="138"/>
        <v>0</v>
      </c>
      <c r="L256" s="71">
        <f t="shared" si="136"/>
        <v>1800</v>
      </c>
      <c r="M256" s="71">
        <f t="shared" si="139"/>
        <v>0</v>
      </c>
      <c r="N256" s="71"/>
      <c r="O256" s="71"/>
      <c r="P256" s="75">
        <f t="shared" si="140"/>
        <v>0</v>
      </c>
      <c r="Q256" s="74">
        <f t="shared" si="141"/>
        <v>0</v>
      </c>
      <c r="R256" s="74">
        <f t="shared" si="142"/>
        <v>0</v>
      </c>
      <c r="S256" s="76">
        <f t="shared" si="143"/>
        <v>0</v>
      </c>
    </row>
    <row r="257" spans="1:19" s="39" customFormat="1" ht="12.75" hidden="1">
      <c r="A257" s="69">
        <v>5</v>
      </c>
      <c r="B257" s="70"/>
      <c r="C257" s="71" t="s">
        <v>52</v>
      </c>
      <c r="D257" s="72" t="str">
        <f t="shared" si="137"/>
        <v>услуга 14</v>
      </c>
      <c r="E257" s="71"/>
      <c r="F257" s="71">
        <f t="shared" si="135"/>
        <v>0</v>
      </c>
      <c r="G257" s="71">
        <v>7570</v>
      </c>
      <c r="H257" s="73">
        <f t="shared" si="144"/>
        <v>0</v>
      </c>
      <c r="I257" s="73"/>
      <c r="J257" s="71"/>
      <c r="K257" s="74">
        <f t="shared" si="138"/>
        <v>0</v>
      </c>
      <c r="L257" s="71">
        <f t="shared" si="136"/>
        <v>1800</v>
      </c>
      <c r="M257" s="71">
        <f t="shared" si="139"/>
        <v>0</v>
      </c>
      <c r="N257" s="71"/>
      <c r="O257" s="71"/>
      <c r="P257" s="75">
        <f t="shared" si="140"/>
        <v>0</v>
      </c>
      <c r="Q257" s="74">
        <f t="shared" si="141"/>
        <v>0</v>
      </c>
      <c r="R257" s="74">
        <f t="shared" si="142"/>
        <v>0</v>
      </c>
      <c r="S257" s="76">
        <f t="shared" si="143"/>
        <v>0</v>
      </c>
    </row>
    <row r="258" spans="1:19" s="39" customFormat="1" ht="12.75" hidden="1">
      <c r="A258" s="69">
        <v>6</v>
      </c>
      <c r="B258" s="70"/>
      <c r="C258" s="71" t="s">
        <v>52</v>
      </c>
      <c r="D258" s="72" t="str">
        <f t="shared" si="137"/>
        <v>услуга 14</v>
      </c>
      <c r="E258" s="71"/>
      <c r="F258" s="71">
        <f t="shared" si="135"/>
        <v>0</v>
      </c>
      <c r="G258" s="71">
        <v>7570</v>
      </c>
      <c r="H258" s="73">
        <f t="shared" si="144"/>
        <v>0</v>
      </c>
      <c r="I258" s="73"/>
      <c r="J258" s="71"/>
      <c r="K258" s="74">
        <f t="shared" si="138"/>
        <v>0</v>
      </c>
      <c r="L258" s="71">
        <f t="shared" si="136"/>
        <v>1800</v>
      </c>
      <c r="M258" s="71">
        <f t="shared" si="139"/>
        <v>0</v>
      </c>
      <c r="N258" s="71"/>
      <c r="O258" s="71"/>
      <c r="P258" s="75">
        <f t="shared" si="140"/>
        <v>0</v>
      </c>
      <c r="Q258" s="74">
        <f t="shared" si="141"/>
        <v>0</v>
      </c>
      <c r="R258" s="74">
        <f t="shared" si="142"/>
        <v>0</v>
      </c>
      <c r="S258" s="76">
        <f t="shared" si="143"/>
        <v>0</v>
      </c>
    </row>
    <row r="259" spans="1:19" s="39" customFormat="1" ht="12.75" hidden="1">
      <c r="A259" s="69">
        <v>7</v>
      </c>
      <c r="B259" s="70"/>
      <c r="C259" s="71" t="s">
        <v>52</v>
      </c>
      <c r="D259" s="72" t="str">
        <f t="shared" si="137"/>
        <v>услуга 14</v>
      </c>
      <c r="E259" s="71"/>
      <c r="F259" s="71">
        <f t="shared" si="135"/>
        <v>0</v>
      </c>
      <c r="G259" s="71">
        <v>7570</v>
      </c>
      <c r="H259" s="73">
        <f t="shared" si="144"/>
        <v>0</v>
      </c>
      <c r="I259" s="73"/>
      <c r="J259" s="71"/>
      <c r="K259" s="74">
        <f t="shared" si="138"/>
        <v>0</v>
      </c>
      <c r="L259" s="71">
        <f t="shared" si="136"/>
        <v>1800</v>
      </c>
      <c r="M259" s="71">
        <f t="shared" si="139"/>
        <v>0</v>
      </c>
      <c r="N259" s="71"/>
      <c r="O259" s="71"/>
      <c r="P259" s="75">
        <f t="shared" si="140"/>
        <v>0</v>
      </c>
      <c r="Q259" s="74">
        <f t="shared" si="141"/>
        <v>0</v>
      </c>
      <c r="R259" s="74">
        <f t="shared" si="142"/>
        <v>0</v>
      </c>
      <c r="S259" s="76">
        <f t="shared" si="143"/>
        <v>0</v>
      </c>
    </row>
    <row r="260" spans="1:19" s="39" customFormat="1" ht="12.75" hidden="1">
      <c r="A260" s="69">
        <v>8</v>
      </c>
      <c r="B260" s="70"/>
      <c r="C260" s="71" t="s">
        <v>52</v>
      </c>
      <c r="D260" s="72" t="str">
        <f t="shared" si="137"/>
        <v>услуга 14</v>
      </c>
      <c r="E260" s="71"/>
      <c r="F260" s="71">
        <f t="shared" si="135"/>
        <v>0</v>
      </c>
      <c r="G260" s="71">
        <v>7570</v>
      </c>
      <c r="H260" s="73">
        <f t="shared" si="144"/>
        <v>0</v>
      </c>
      <c r="I260" s="73"/>
      <c r="J260" s="71"/>
      <c r="K260" s="74">
        <f t="shared" si="138"/>
        <v>0</v>
      </c>
      <c r="L260" s="71">
        <f t="shared" si="136"/>
        <v>1800</v>
      </c>
      <c r="M260" s="71">
        <f t="shared" si="139"/>
        <v>0</v>
      </c>
      <c r="N260" s="71"/>
      <c r="O260" s="71"/>
      <c r="P260" s="75">
        <f t="shared" si="140"/>
        <v>0</v>
      </c>
      <c r="Q260" s="74">
        <f t="shared" si="141"/>
        <v>0</v>
      </c>
      <c r="R260" s="74">
        <f t="shared" si="142"/>
        <v>0</v>
      </c>
      <c r="S260" s="76">
        <f t="shared" si="143"/>
        <v>0</v>
      </c>
    </row>
    <row r="261" spans="1:19" s="39" customFormat="1" ht="12.75" hidden="1">
      <c r="A261" s="69">
        <v>9</v>
      </c>
      <c r="B261" s="70"/>
      <c r="C261" s="71" t="s">
        <v>52</v>
      </c>
      <c r="D261" s="72" t="str">
        <f t="shared" si="137"/>
        <v>услуга 14</v>
      </c>
      <c r="E261" s="71"/>
      <c r="F261" s="71">
        <f t="shared" si="135"/>
        <v>0</v>
      </c>
      <c r="G261" s="71">
        <v>7570</v>
      </c>
      <c r="H261" s="73">
        <f t="shared" si="144"/>
        <v>0</v>
      </c>
      <c r="I261" s="73"/>
      <c r="J261" s="71"/>
      <c r="K261" s="74">
        <f t="shared" si="138"/>
        <v>0</v>
      </c>
      <c r="L261" s="71">
        <f t="shared" si="136"/>
        <v>1800</v>
      </c>
      <c r="M261" s="71">
        <f t="shared" si="139"/>
        <v>0</v>
      </c>
      <c r="N261" s="71"/>
      <c r="O261" s="71"/>
      <c r="P261" s="75">
        <f t="shared" si="140"/>
        <v>0</v>
      </c>
      <c r="Q261" s="74">
        <f t="shared" si="141"/>
        <v>0</v>
      </c>
      <c r="R261" s="74">
        <f t="shared" si="142"/>
        <v>0</v>
      </c>
      <c r="S261" s="76">
        <f t="shared" si="143"/>
        <v>0</v>
      </c>
    </row>
    <row r="262" spans="1:19" s="39" customFormat="1" ht="12.75" hidden="1">
      <c r="A262" s="69">
        <v>10</v>
      </c>
      <c r="B262" s="70"/>
      <c r="C262" s="71" t="s">
        <v>52</v>
      </c>
      <c r="D262" s="72" t="str">
        <f t="shared" si="137"/>
        <v>услуга 14</v>
      </c>
      <c r="E262" s="71"/>
      <c r="F262" s="71">
        <f t="shared" si="135"/>
        <v>0</v>
      </c>
      <c r="G262" s="71">
        <v>7570</v>
      </c>
      <c r="H262" s="73">
        <f t="shared" si="144"/>
        <v>0</v>
      </c>
      <c r="I262" s="73"/>
      <c r="J262" s="71"/>
      <c r="K262" s="74">
        <f t="shared" si="138"/>
        <v>0</v>
      </c>
      <c r="L262" s="71">
        <f t="shared" si="136"/>
        <v>1800</v>
      </c>
      <c r="M262" s="71">
        <f t="shared" si="139"/>
        <v>0</v>
      </c>
      <c r="N262" s="71"/>
      <c r="O262" s="71"/>
      <c r="P262" s="75">
        <f t="shared" si="140"/>
        <v>0</v>
      </c>
      <c r="Q262" s="74">
        <f t="shared" si="141"/>
        <v>0</v>
      </c>
      <c r="R262" s="74">
        <f t="shared" si="142"/>
        <v>0</v>
      </c>
      <c r="S262" s="76">
        <f t="shared" si="143"/>
        <v>0</v>
      </c>
    </row>
    <row r="263" spans="1:19" s="39" customFormat="1" ht="13.5" hidden="1" thickBot="1">
      <c r="A263" s="113"/>
      <c r="B263" s="114"/>
      <c r="C263" s="114"/>
      <c r="D263" s="114" t="s">
        <v>53</v>
      </c>
      <c r="E263" s="114"/>
      <c r="F263" s="115">
        <f>SUM(F253:F262)</f>
        <v>0</v>
      </c>
      <c r="G263" s="114"/>
      <c r="H263" s="114"/>
      <c r="I263" s="114"/>
      <c r="J263" s="114"/>
      <c r="K263" s="116"/>
      <c r="L263" s="114"/>
      <c r="M263" s="117">
        <f>SUM(M253:M262)</f>
        <v>0</v>
      </c>
      <c r="N263" s="117">
        <f>SUM(N253:N262)</f>
        <v>0</v>
      </c>
      <c r="O263" s="117">
        <f>SUM(O253:O262)</f>
        <v>0</v>
      </c>
      <c r="P263" s="114"/>
      <c r="Q263" s="115">
        <f>SUM(Q253:Q262)</f>
        <v>0</v>
      </c>
      <c r="R263" s="115">
        <f>SUM(R253:R262)</f>
        <v>0</v>
      </c>
      <c r="S263" s="143">
        <f>SUM(S253:S262)</f>
        <v>0</v>
      </c>
    </row>
    <row r="264" spans="1:19" s="39" customFormat="1" ht="12.75" hidden="1">
      <c r="A264" s="118"/>
      <c r="B264" s="92"/>
      <c r="C264" s="92"/>
      <c r="D264" s="92"/>
      <c r="E264" s="92"/>
      <c r="F264" s="93"/>
      <c r="G264" s="92"/>
      <c r="H264" s="92"/>
      <c r="I264" s="92"/>
      <c r="J264" s="92"/>
      <c r="K264" s="94"/>
      <c r="L264" s="92"/>
      <c r="M264" s="95"/>
      <c r="N264" s="95">
        <f>доходы!C25</f>
        <v>0</v>
      </c>
      <c r="O264" s="96" t="s">
        <v>116</v>
      </c>
      <c r="P264" s="119"/>
      <c r="Q264" s="120"/>
      <c r="R264" s="121"/>
      <c r="S264" s="136"/>
    </row>
    <row r="265" spans="1:19" s="39" customFormat="1" ht="12.75" hidden="1">
      <c r="A265" s="137" t="s">
        <v>129</v>
      </c>
      <c r="B265" s="138" t="str">
        <f>доходы!B26</f>
        <v>услуга 15</v>
      </c>
      <c r="C265" s="92"/>
      <c r="D265" s="92"/>
      <c r="E265" s="92"/>
      <c r="F265" s="139"/>
      <c r="G265" s="139"/>
      <c r="H265" s="139"/>
      <c r="I265" s="139"/>
      <c r="J265" s="139"/>
      <c r="K265" s="140"/>
      <c r="L265" s="139"/>
      <c r="M265" s="139"/>
      <c r="N265" s="139"/>
      <c r="O265" s="139"/>
      <c r="P265" s="139"/>
      <c r="Q265" s="139"/>
      <c r="R265" s="139"/>
      <c r="S265" s="141"/>
    </row>
    <row r="266" spans="1:19" s="39" customFormat="1" ht="13.5" hidden="1" thickBot="1">
      <c r="A266" s="142"/>
      <c r="B266" s="139"/>
      <c r="C266" s="139"/>
      <c r="D266" s="139"/>
      <c r="E266" s="139"/>
      <c r="F266" s="139"/>
      <c r="G266" s="139"/>
      <c r="H266" s="139"/>
      <c r="I266" s="139"/>
      <c r="J266" s="139"/>
      <c r="K266" s="140"/>
      <c r="L266" s="139"/>
      <c r="M266" s="139"/>
      <c r="N266" s="139"/>
      <c r="O266" s="139"/>
      <c r="P266" s="139"/>
      <c r="Q266" s="139"/>
      <c r="R266" s="139"/>
      <c r="S266" s="141"/>
    </row>
    <row r="267" spans="1:19" s="39" customFormat="1" ht="51.75" hidden="1" thickBot="1">
      <c r="A267" s="99" t="s">
        <v>1</v>
      </c>
      <c r="B267" s="99" t="s">
        <v>2</v>
      </c>
      <c r="C267" s="99" t="s">
        <v>8</v>
      </c>
      <c r="D267" s="99" t="s">
        <v>3</v>
      </c>
      <c r="E267" s="99" t="s">
        <v>4</v>
      </c>
      <c r="F267" s="99" t="s">
        <v>5</v>
      </c>
      <c r="G267" s="99" t="s">
        <v>64</v>
      </c>
      <c r="H267" s="99" t="s">
        <v>117</v>
      </c>
      <c r="I267" s="99" t="s">
        <v>99</v>
      </c>
      <c r="J267" s="99" t="s">
        <v>65</v>
      </c>
      <c r="K267" s="100" t="s">
        <v>66</v>
      </c>
      <c r="L267" s="99" t="s">
        <v>67</v>
      </c>
      <c r="M267" s="99" t="s">
        <v>6</v>
      </c>
      <c r="N267" s="99" t="s">
        <v>54</v>
      </c>
      <c r="O267" s="99" t="s">
        <v>7</v>
      </c>
      <c r="P267" s="99" t="s">
        <v>48</v>
      </c>
      <c r="Q267" s="99" t="s">
        <v>49</v>
      </c>
      <c r="R267" s="99" t="s">
        <v>50</v>
      </c>
      <c r="S267" s="99" t="s">
        <v>51</v>
      </c>
    </row>
    <row r="268" spans="1:19" s="39" customFormat="1" ht="12.75" hidden="1">
      <c r="A268" s="101">
        <v>1</v>
      </c>
      <c r="B268" s="102">
        <v>2</v>
      </c>
      <c r="C268" s="102">
        <v>3</v>
      </c>
      <c r="D268" s="102">
        <v>4</v>
      </c>
      <c r="E268" s="102">
        <v>5</v>
      </c>
      <c r="F268" s="102">
        <v>6</v>
      </c>
      <c r="G268" s="102">
        <v>7</v>
      </c>
      <c r="H268" s="102">
        <v>8</v>
      </c>
      <c r="I268" s="102">
        <v>9</v>
      </c>
      <c r="J268" s="102">
        <v>10</v>
      </c>
      <c r="K268" s="104">
        <v>11</v>
      </c>
      <c r="L268" s="102">
        <v>12</v>
      </c>
      <c r="M268" s="102">
        <v>13</v>
      </c>
      <c r="N268" s="102">
        <v>14</v>
      </c>
      <c r="O268" s="102">
        <v>15</v>
      </c>
      <c r="P268" s="102">
        <v>16</v>
      </c>
      <c r="Q268" s="102">
        <v>17</v>
      </c>
      <c r="R268" s="102">
        <v>18</v>
      </c>
      <c r="S268" s="105">
        <v>19</v>
      </c>
    </row>
    <row r="269" spans="1:19" s="39" customFormat="1" ht="12.75" hidden="1">
      <c r="A269" s="69">
        <v>1</v>
      </c>
      <c r="B269" s="70" t="s">
        <v>118</v>
      </c>
      <c r="C269" s="71" t="s">
        <v>52</v>
      </c>
      <c r="D269" s="72" t="str">
        <f>B$265</f>
        <v>услуга 15</v>
      </c>
      <c r="E269" s="71"/>
      <c r="F269" s="71">
        <f aca="true" t="shared" si="145" ref="F269:F278">ROUND(O269/18/4,2)</f>
        <v>0</v>
      </c>
      <c r="G269" s="71">
        <v>7570</v>
      </c>
      <c r="H269" s="73">
        <v>0.15</v>
      </c>
      <c r="I269" s="73">
        <v>0</v>
      </c>
      <c r="J269" s="71"/>
      <c r="K269" s="74">
        <f>(G269+G269*(H269+I269))*J269</f>
        <v>0</v>
      </c>
      <c r="L269" s="71">
        <f aca="true" t="shared" si="146" ref="L269:L278">18*25*4</f>
        <v>1800</v>
      </c>
      <c r="M269" s="71">
        <f>N269*O269</f>
        <v>0</v>
      </c>
      <c r="N269" s="71"/>
      <c r="O269" s="71"/>
      <c r="P269" s="75">
        <f>ROUND(K269/L269,2)</f>
        <v>0</v>
      </c>
      <c r="Q269" s="74">
        <f>N269*O269*P269</f>
        <v>0</v>
      </c>
      <c r="R269" s="74">
        <f>Q269*0.15</f>
        <v>0</v>
      </c>
      <c r="S269" s="76">
        <f>Q269+R269</f>
        <v>0</v>
      </c>
    </row>
    <row r="270" spans="1:19" s="39" customFormat="1" ht="12.75" hidden="1">
      <c r="A270" s="69">
        <v>2</v>
      </c>
      <c r="B270" s="70"/>
      <c r="C270" s="71" t="s">
        <v>52</v>
      </c>
      <c r="D270" s="72" t="str">
        <f aca="true" t="shared" si="147" ref="D270:D278">B$265</f>
        <v>услуга 15</v>
      </c>
      <c r="E270" s="71"/>
      <c r="F270" s="71">
        <f t="shared" si="145"/>
        <v>0</v>
      </c>
      <c r="G270" s="71">
        <v>7570</v>
      </c>
      <c r="H270" s="73">
        <f>H$24</f>
        <v>0</v>
      </c>
      <c r="I270" s="73">
        <v>0</v>
      </c>
      <c r="J270" s="71"/>
      <c r="K270" s="74">
        <f aca="true" t="shared" si="148" ref="K270:K278">(G270+G270*(H270+I270))*J270</f>
        <v>0</v>
      </c>
      <c r="L270" s="71">
        <f t="shared" si="146"/>
        <v>1800</v>
      </c>
      <c r="M270" s="71">
        <f aca="true" t="shared" si="149" ref="M270:M278">N270*O270</f>
        <v>0</v>
      </c>
      <c r="N270" s="71"/>
      <c r="O270" s="71"/>
      <c r="P270" s="75">
        <f aca="true" t="shared" si="150" ref="P270:P278">ROUND(K270/L270,2)</f>
        <v>0</v>
      </c>
      <c r="Q270" s="74">
        <f aca="true" t="shared" si="151" ref="Q270:Q278">N270*O270*P270</f>
        <v>0</v>
      </c>
      <c r="R270" s="74">
        <f aca="true" t="shared" si="152" ref="R270:R278">Q270*0.15</f>
        <v>0</v>
      </c>
      <c r="S270" s="76">
        <f aca="true" t="shared" si="153" ref="S270:S278">Q270+R270</f>
        <v>0</v>
      </c>
    </row>
    <row r="271" spans="1:19" s="39" customFormat="1" ht="12.75" hidden="1">
      <c r="A271" s="69">
        <v>3</v>
      </c>
      <c r="B271" s="70"/>
      <c r="C271" s="71" t="s">
        <v>52</v>
      </c>
      <c r="D271" s="72" t="str">
        <f t="shared" si="147"/>
        <v>услуга 15</v>
      </c>
      <c r="E271" s="71"/>
      <c r="F271" s="71">
        <f t="shared" si="145"/>
        <v>0</v>
      </c>
      <c r="G271" s="71">
        <v>7570</v>
      </c>
      <c r="H271" s="73">
        <f aca="true" t="shared" si="154" ref="H271:H278">H$24</f>
        <v>0</v>
      </c>
      <c r="I271" s="73"/>
      <c r="J271" s="71"/>
      <c r="K271" s="74">
        <f t="shared" si="148"/>
        <v>0</v>
      </c>
      <c r="L271" s="71">
        <f t="shared" si="146"/>
        <v>1800</v>
      </c>
      <c r="M271" s="71">
        <f t="shared" si="149"/>
        <v>0</v>
      </c>
      <c r="N271" s="71"/>
      <c r="O271" s="71"/>
      <c r="P271" s="75">
        <f t="shared" si="150"/>
        <v>0</v>
      </c>
      <c r="Q271" s="74">
        <f t="shared" si="151"/>
        <v>0</v>
      </c>
      <c r="R271" s="74">
        <f t="shared" si="152"/>
        <v>0</v>
      </c>
      <c r="S271" s="76">
        <f t="shared" si="153"/>
        <v>0</v>
      </c>
    </row>
    <row r="272" spans="1:19" s="39" customFormat="1" ht="12.75" hidden="1">
      <c r="A272" s="69">
        <v>4</v>
      </c>
      <c r="B272" s="70"/>
      <c r="C272" s="71" t="s">
        <v>52</v>
      </c>
      <c r="D272" s="72" t="str">
        <f t="shared" si="147"/>
        <v>услуга 15</v>
      </c>
      <c r="E272" s="71"/>
      <c r="F272" s="71">
        <f t="shared" si="145"/>
        <v>0</v>
      </c>
      <c r="G272" s="71">
        <v>7570</v>
      </c>
      <c r="H272" s="73">
        <f t="shared" si="154"/>
        <v>0</v>
      </c>
      <c r="I272" s="73"/>
      <c r="J272" s="71"/>
      <c r="K272" s="74">
        <f t="shared" si="148"/>
        <v>0</v>
      </c>
      <c r="L272" s="71">
        <f t="shared" si="146"/>
        <v>1800</v>
      </c>
      <c r="M272" s="71">
        <f t="shared" si="149"/>
        <v>0</v>
      </c>
      <c r="N272" s="71"/>
      <c r="O272" s="71"/>
      <c r="P272" s="75">
        <f t="shared" si="150"/>
        <v>0</v>
      </c>
      <c r="Q272" s="74">
        <f t="shared" si="151"/>
        <v>0</v>
      </c>
      <c r="R272" s="74">
        <f t="shared" si="152"/>
        <v>0</v>
      </c>
      <c r="S272" s="76">
        <f t="shared" si="153"/>
        <v>0</v>
      </c>
    </row>
    <row r="273" spans="1:19" s="39" customFormat="1" ht="12.75" hidden="1">
      <c r="A273" s="69">
        <v>5</v>
      </c>
      <c r="B273" s="70"/>
      <c r="C273" s="71" t="s">
        <v>52</v>
      </c>
      <c r="D273" s="72" t="str">
        <f t="shared" si="147"/>
        <v>услуга 15</v>
      </c>
      <c r="E273" s="71"/>
      <c r="F273" s="71">
        <f t="shared" si="145"/>
        <v>0</v>
      </c>
      <c r="G273" s="71">
        <v>7570</v>
      </c>
      <c r="H273" s="73">
        <f t="shared" si="154"/>
        <v>0</v>
      </c>
      <c r="I273" s="73"/>
      <c r="J273" s="71"/>
      <c r="K273" s="74">
        <f t="shared" si="148"/>
        <v>0</v>
      </c>
      <c r="L273" s="71">
        <f t="shared" si="146"/>
        <v>1800</v>
      </c>
      <c r="M273" s="71">
        <f t="shared" si="149"/>
        <v>0</v>
      </c>
      <c r="N273" s="71"/>
      <c r="O273" s="71"/>
      <c r="P273" s="75">
        <f t="shared" si="150"/>
        <v>0</v>
      </c>
      <c r="Q273" s="74">
        <f t="shared" si="151"/>
        <v>0</v>
      </c>
      <c r="R273" s="74">
        <f t="shared" si="152"/>
        <v>0</v>
      </c>
      <c r="S273" s="76">
        <f t="shared" si="153"/>
        <v>0</v>
      </c>
    </row>
    <row r="274" spans="1:19" s="39" customFormat="1" ht="12.75" hidden="1">
      <c r="A274" s="69">
        <v>6</v>
      </c>
      <c r="B274" s="70"/>
      <c r="C274" s="71" t="s">
        <v>52</v>
      </c>
      <c r="D274" s="72" t="str">
        <f t="shared" si="147"/>
        <v>услуга 15</v>
      </c>
      <c r="E274" s="71"/>
      <c r="F274" s="71">
        <f t="shared" si="145"/>
        <v>0</v>
      </c>
      <c r="G274" s="71">
        <v>7570</v>
      </c>
      <c r="H274" s="73">
        <f t="shared" si="154"/>
        <v>0</v>
      </c>
      <c r="I274" s="73"/>
      <c r="J274" s="71"/>
      <c r="K274" s="74">
        <f t="shared" si="148"/>
        <v>0</v>
      </c>
      <c r="L274" s="71">
        <f t="shared" si="146"/>
        <v>1800</v>
      </c>
      <c r="M274" s="71">
        <f t="shared" si="149"/>
        <v>0</v>
      </c>
      <c r="N274" s="71"/>
      <c r="O274" s="71"/>
      <c r="P274" s="75">
        <f t="shared" si="150"/>
        <v>0</v>
      </c>
      <c r="Q274" s="74">
        <f t="shared" si="151"/>
        <v>0</v>
      </c>
      <c r="R274" s="74">
        <f t="shared" si="152"/>
        <v>0</v>
      </c>
      <c r="S274" s="76">
        <f t="shared" si="153"/>
        <v>0</v>
      </c>
    </row>
    <row r="275" spans="1:19" s="39" customFormat="1" ht="12.75" hidden="1">
      <c r="A275" s="69">
        <v>7</v>
      </c>
      <c r="B275" s="70"/>
      <c r="C275" s="71" t="s">
        <v>52</v>
      </c>
      <c r="D275" s="72" t="str">
        <f t="shared" si="147"/>
        <v>услуга 15</v>
      </c>
      <c r="E275" s="71"/>
      <c r="F275" s="71">
        <f t="shared" si="145"/>
        <v>0</v>
      </c>
      <c r="G275" s="71">
        <v>7570</v>
      </c>
      <c r="H275" s="73">
        <f t="shared" si="154"/>
        <v>0</v>
      </c>
      <c r="I275" s="73"/>
      <c r="J275" s="71"/>
      <c r="K275" s="74">
        <f t="shared" si="148"/>
        <v>0</v>
      </c>
      <c r="L275" s="71">
        <f t="shared" si="146"/>
        <v>1800</v>
      </c>
      <c r="M275" s="71">
        <f t="shared" si="149"/>
        <v>0</v>
      </c>
      <c r="N275" s="71"/>
      <c r="O275" s="71"/>
      <c r="P275" s="75">
        <f t="shared" si="150"/>
        <v>0</v>
      </c>
      <c r="Q275" s="74">
        <f t="shared" si="151"/>
        <v>0</v>
      </c>
      <c r="R275" s="74">
        <f t="shared" si="152"/>
        <v>0</v>
      </c>
      <c r="S275" s="76">
        <f t="shared" si="153"/>
        <v>0</v>
      </c>
    </row>
    <row r="276" spans="1:19" s="39" customFormat="1" ht="12.75" hidden="1">
      <c r="A276" s="69">
        <v>8</v>
      </c>
      <c r="B276" s="70"/>
      <c r="C276" s="71" t="s">
        <v>52</v>
      </c>
      <c r="D276" s="72" t="str">
        <f t="shared" si="147"/>
        <v>услуга 15</v>
      </c>
      <c r="E276" s="71"/>
      <c r="F276" s="71">
        <f t="shared" si="145"/>
        <v>0</v>
      </c>
      <c r="G276" s="71">
        <v>7570</v>
      </c>
      <c r="H276" s="73">
        <f t="shared" si="154"/>
        <v>0</v>
      </c>
      <c r="I276" s="73"/>
      <c r="J276" s="71"/>
      <c r="K276" s="74">
        <f t="shared" si="148"/>
        <v>0</v>
      </c>
      <c r="L276" s="71">
        <f t="shared" si="146"/>
        <v>1800</v>
      </c>
      <c r="M276" s="71">
        <f t="shared" si="149"/>
        <v>0</v>
      </c>
      <c r="N276" s="71"/>
      <c r="O276" s="71"/>
      <c r="P276" s="75">
        <f t="shared" si="150"/>
        <v>0</v>
      </c>
      <c r="Q276" s="74">
        <f t="shared" si="151"/>
        <v>0</v>
      </c>
      <c r="R276" s="74">
        <f t="shared" si="152"/>
        <v>0</v>
      </c>
      <c r="S276" s="76">
        <f t="shared" si="153"/>
        <v>0</v>
      </c>
    </row>
    <row r="277" spans="1:19" s="39" customFormat="1" ht="12.75" hidden="1">
      <c r="A277" s="69">
        <v>9</v>
      </c>
      <c r="B277" s="70"/>
      <c r="C277" s="71" t="s">
        <v>52</v>
      </c>
      <c r="D277" s="72" t="str">
        <f t="shared" si="147"/>
        <v>услуга 15</v>
      </c>
      <c r="E277" s="71"/>
      <c r="F277" s="71">
        <f t="shared" si="145"/>
        <v>0</v>
      </c>
      <c r="G277" s="71">
        <v>7570</v>
      </c>
      <c r="H277" s="73">
        <f t="shared" si="154"/>
        <v>0</v>
      </c>
      <c r="I277" s="73"/>
      <c r="J277" s="71"/>
      <c r="K277" s="74">
        <f t="shared" si="148"/>
        <v>0</v>
      </c>
      <c r="L277" s="71">
        <f t="shared" si="146"/>
        <v>1800</v>
      </c>
      <c r="M277" s="71">
        <f t="shared" si="149"/>
        <v>0</v>
      </c>
      <c r="N277" s="71"/>
      <c r="O277" s="71"/>
      <c r="P277" s="75">
        <f t="shared" si="150"/>
        <v>0</v>
      </c>
      <c r="Q277" s="74">
        <f t="shared" si="151"/>
        <v>0</v>
      </c>
      <c r="R277" s="74">
        <f t="shared" si="152"/>
        <v>0</v>
      </c>
      <c r="S277" s="76">
        <f t="shared" si="153"/>
        <v>0</v>
      </c>
    </row>
    <row r="278" spans="1:19" s="39" customFormat="1" ht="12.75" hidden="1">
      <c r="A278" s="69">
        <v>10</v>
      </c>
      <c r="B278" s="70"/>
      <c r="C278" s="71" t="s">
        <v>52</v>
      </c>
      <c r="D278" s="72" t="str">
        <f t="shared" si="147"/>
        <v>услуга 15</v>
      </c>
      <c r="E278" s="71"/>
      <c r="F278" s="71">
        <f t="shared" si="145"/>
        <v>0</v>
      </c>
      <c r="G278" s="71">
        <v>7570</v>
      </c>
      <c r="H278" s="73">
        <f t="shared" si="154"/>
        <v>0</v>
      </c>
      <c r="I278" s="73"/>
      <c r="J278" s="71"/>
      <c r="K278" s="74">
        <f t="shared" si="148"/>
        <v>0</v>
      </c>
      <c r="L278" s="71">
        <f t="shared" si="146"/>
        <v>1800</v>
      </c>
      <c r="M278" s="71">
        <f t="shared" si="149"/>
        <v>0</v>
      </c>
      <c r="N278" s="71"/>
      <c r="O278" s="71"/>
      <c r="P278" s="75">
        <f t="shared" si="150"/>
        <v>0</v>
      </c>
      <c r="Q278" s="74">
        <f t="shared" si="151"/>
        <v>0</v>
      </c>
      <c r="R278" s="74">
        <f t="shared" si="152"/>
        <v>0</v>
      </c>
      <c r="S278" s="76">
        <f t="shared" si="153"/>
        <v>0</v>
      </c>
    </row>
    <row r="279" spans="1:19" s="39" customFormat="1" ht="13.5" hidden="1" thickBot="1">
      <c r="A279" s="113"/>
      <c r="B279" s="114"/>
      <c r="C279" s="114"/>
      <c r="D279" s="114" t="s">
        <v>53</v>
      </c>
      <c r="E279" s="114"/>
      <c r="F279" s="115">
        <f>SUM(F269:F278)</f>
        <v>0</v>
      </c>
      <c r="G279" s="114"/>
      <c r="H279" s="114"/>
      <c r="I279" s="114"/>
      <c r="J279" s="114"/>
      <c r="K279" s="116"/>
      <c r="L279" s="114"/>
      <c r="M279" s="117">
        <f>SUM(M269:M278)</f>
        <v>0</v>
      </c>
      <c r="N279" s="117">
        <f>SUM(N269:N278)</f>
        <v>0</v>
      </c>
      <c r="O279" s="117">
        <f>SUM(O269:O278)</f>
        <v>0</v>
      </c>
      <c r="P279" s="114"/>
      <c r="Q279" s="115">
        <f>SUM(Q269:Q278)</f>
        <v>0</v>
      </c>
      <c r="R279" s="115">
        <f>SUM(R269:R278)</f>
        <v>0</v>
      </c>
      <c r="S279" s="143">
        <f>SUM(S269:S278)</f>
        <v>0</v>
      </c>
    </row>
    <row r="280" spans="1:19" s="39" customFormat="1" ht="12.75" hidden="1">
      <c r="A280" s="118"/>
      <c r="B280" s="92"/>
      <c r="C280" s="92"/>
      <c r="D280" s="92"/>
      <c r="E280" s="92"/>
      <c r="F280" s="93"/>
      <c r="G280" s="92"/>
      <c r="H280" s="92"/>
      <c r="I280" s="92"/>
      <c r="J280" s="92"/>
      <c r="K280" s="94"/>
      <c r="L280" s="92"/>
      <c r="M280" s="95"/>
      <c r="N280" s="95">
        <f>доходы!C26</f>
        <v>0</v>
      </c>
      <c r="O280" s="96" t="s">
        <v>116</v>
      </c>
      <c r="P280" s="119"/>
      <c r="Q280" s="120"/>
      <c r="R280" s="121"/>
      <c r="S280" s="136"/>
    </row>
    <row r="281" spans="1:19" s="39" customFormat="1" ht="12.75" hidden="1">
      <c r="A281" s="137" t="s">
        <v>130</v>
      </c>
      <c r="B281" s="138" t="str">
        <f>доходы!B27</f>
        <v>услуга 16</v>
      </c>
      <c r="C281" s="92"/>
      <c r="D281" s="92"/>
      <c r="E281" s="92"/>
      <c r="F281" s="139"/>
      <c r="G281" s="139"/>
      <c r="H281" s="139"/>
      <c r="I281" s="139"/>
      <c r="J281" s="139"/>
      <c r="K281" s="140"/>
      <c r="L281" s="139"/>
      <c r="M281" s="139"/>
      <c r="N281" s="139"/>
      <c r="O281" s="139"/>
      <c r="P281" s="139"/>
      <c r="Q281" s="139"/>
      <c r="R281" s="139"/>
      <c r="S281" s="141"/>
    </row>
    <row r="282" spans="1:19" s="39" customFormat="1" ht="13.5" hidden="1" thickBot="1">
      <c r="A282" s="142"/>
      <c r="B282" s="139"/>
      <c r="C282" s="139"/>
      <c r="D282" s="139"/>
      <c r="E282" s="139"/>
      <c r="F282" s="139"/>
      <c r="G282" s="139"/>
      <c r="H282" s="139"/>
      <c r="I282" s="139"/>
      <c r="J282" s="139"/>
      <c r="K282" s="140"/>
      <c r="L282" s="139"/>
      <c r="M282" s="139"/>
      <c r="N282" s="139"/>
      <c r="O282" s="139"/>
      <c r="P282" s="139"/>
      <c r="Q282" s="139"/>
      <c r="R282" s="139"/>
      <c r="S282" s="141"/>
    </row>
    <row r="283" spans="1:19" s="39" customFormat="1" ht="51.75" hidden="1" thickBot="1">
      <c r="A283" s="99" t="s">
        <v>1</v>
      </c>
      <c r="B283" s="99" t="s">
        <v>2</v>
      </c>
      <c r="C283" s="99" t="s">
        <v>8</v>
      </c>
      <c r="D283" s="99" t="s">
        <v>3</v>
      </c>
      <c r="E283" s="99" t="s">
        <v>4</v>
      </c>
      <c r="F283" s="99" t="s">
        <v>5</v>
      </c>
      <c r="G283" s="99" t="s">
        <v>64</v>
      </c>
      <c r="H283" s="99" t="s">
        <v>117</v>
      </c>
      <c r="I283" s="99" t="s">
        <v>99</v>
      </c>
      <c r="J283" s="99" t="s">
        <v>65</v>
      </c>
      <c r="K283" s="100" t="s">
        <v>66</v>
      </c>
      <c r="L283" s="99" t="s">
        <v>67</v>
      </c>
      <c r="M283" s="99" t="s">
        <v>6</v>
      </c>
      <c r="N283" s="99" t="s">
        <v>54</v>
      </c>
      <c r="O283" s="99" t="s">
        <v>7</v>
      </c>
      <c r="P283" s="99" t="s">
        <v>48</v>
      </c>
      <c r="Q283" s="99" t="s">
        <v>49</v>
      </c>
      <c r="R283" s="99" t="s">
        <v>50</v>
      </c>
      <c r="S283" s="99" t="s">
        <v>51</v>
      </c>
    </row>
    <row r="284" spans="1:19" s="39" customFormat="1" ht="12.75" hidden="1">
      <c r="A284" s="101">
        <v>1</v>
      </c>
      <c r="B284" s="102">
        <v>2</v>
      </c>
      <c r="C284" s="102">
        <v>3</v>
      </c>
      <c r="D284" s="102">
        <v>4</v>
      </c>
      <c r="E284" s="102">
        <v>5</v>
      </c>
      <c r="F284" s="102">
        <v>6</v>
      </c>
      <c r="G284" s="102">
        <v>7</v>
      </c>
      <c r="H284" s="102">
        <v>8</v>
      </c>
      <c r="I284" s="102">
        <v>9</v>
      </c>
      <c r="J284" s="102">
        <v>10</v>
      </c>
      <c r="K284" s="104">
        <v>11</v>
      </c>
      <c r="L284" s="102">
        <v>12</v>
      </c>
      <c r="M284" s="102">
        <v>13</v>
      </c>
      <c r="N284" s="102">
        <v>14</v>
      </c>
      <c r="O284" s="102">
        <v>15</v>
      </c>
      <c r="P284" s="102">
        <v>16</v>
      </c>
      <c r="Q284" s="102">
        <v>17</v>
      </c>
      <c r="R284" s="102">
        <v>18</v>
      </c>
      <c r="S284" s="105">
        <v>19</v>
      </c>
    </row>
    <row r="285" spans="1:19" s="39" customFormat="1" ht="12.75" hidden="1">
      <c r="A285" s="69">
        <v>1</v>
      </c>
      <c r="B285" s="70" t="s">
        <v>118</v>
      </c>
      <c r="C285" s="71" t="s">
        <v>52</v>
      </c>
      <c r="D285" s="72" t="str">
        <f>B$281</f>
        <v>услуга 16</v>
      </c>
      <c r="E285" s="71"/>
      <c r="F285" s="71">
        <f aca="true" t="shared" si="155" ref="F285:F294">ROUND(O285/18/4,2)</f>
        <v>0</v>
      </c>
      <c r="G285" s="71">
        <v>7570</v>
      </c>
      <c r="H285" s="73">
        <v>0.15</v>
      </c>
      <c r="I285" s="73">
        <v>0</v>
      </c>
      <c r="J285" s="71"/>
      <c r="K285" s="74">
        <f>(G285+G285*(H285+I285))*J285</f>
        <v>0</v>
      </c>
      <c r="L285" s="71">
        <f aca="true" t="shared" si="156" ref="L285:L294">18*25*4</f>
        <v>1800</v>
      </c>
      <c r="M285" s="71">
        <f>N285*O285</f>
        <v>0</v>
      </c>
      <c r="N285" s="71"/>
      <c r="O285" s="71"/>
      <c r="P285" s="75">
        <f>ROUND(K285/L285,2)</f>
        <v>0</v>
      </c>
      <c r="Q285" s="74">
        <f>N285*O285*P285</f>
        <v>0</v>
      </c>
      <c r="R285" s="74">
        <f>Q285*0.15</f>
        <v>0</v>
      </c>
      <c r="S285" s="76">
        <f>Q285+R285</f>
        <v>0</v>
      </c>
    </row>
    <row r="286" spans="1:19" s="39" customFormat="1" ht="12.75" hidden="1">
      <c r="A286" s="69">
        <v>2</v>
      </c>
      <c r="B286" s="70"/>
      <c r="C286" s="71" t="s">
        <v>52</v>
      </c>
      <c r="D286" s="72" t="str">
        <f aca="true" t="shared" si="157" ref="D286:D294">B$281</f>
        <v>услуга 16</v>
      </c>
      <c r="E286" s="71"/>
      <c r="F286" s="71">
        <f t="shared" si="155"/>
        <v>0</v>
      </c>
      <c r="G286" s="71">
        <v>7570</v>
      </c>
      <c r="H286" s="73">
        <f>H$24</f>
        <v>0</v>
      </c>
      <c r="I286" s="73">
        <v>0</v>
      </c>
      <c r="J286" s="71"/>
      <c r="K286" s="74">
        <f aca="true" t="shared" si="158" ref="K286:K294">(G286+G286*(H286+I286))*J286</f>
        <v>0</v>
      </c>
      <c r="L286" s="71">
        <f t="shared" si="156"/>
        <v>1800</v>
      </c>
      <c r="M286" s="71">
        <f aca="true" t="shared" si="159" ref="M286:M294">N286*O286</f>
        <v>0</v>
      </c>
      <c r="N286" s="71"/>
      <c r="O286" s="71"/>
      <c r="P286" s="75">
        <f aca="true" t="shared" si="160" ref="P286:P294">ROUND(K286/L286,2)</f>
        <v>0</v>
      </c>
      <c r="Q286" s="74">
        <f aca="true" t="shared" si="161" ref="Q286:Q294">N286*O286*P286</f>
        <v>0</v>
      </c>
      <c r="R286" s="74">
        <f aca="true" t="shared" si="162" ref="R286:R294">Q286*0.15</f>
        <v>0</v>
      </c>
      <c r="S286" s="76">
        <f aca="true" t="shared" si="163" ref="S286:S294">Q286+R286</f>
        <v>0</v>
      </c>
    </row>
    <row r="287" spans="1:19" s="39" customFormat="1" ht="12.75" hidden="1">
      <c r="A287" s="69">
        <v>3</v>
      </c>
      <c r="B287" s="70"/>
      <c r="C287" s="71" t="s">
        <v>52</v>
      </c>
      <c r="D287" s="72" t="str">
        <f t="shared" si="157"/>
        <v>услуга 16</v>
      </c>
      <c r="E287" s="71"/>
      <c r="F287" s="71">
        <f t="shared" si="155"/>
        <v>0</v>
      </c>
      <c r="G287" s="71">
        <v>7570</v>
      </c>
      <c r="H287" s="73">
        <f aca="true" t="shared" si="164" ref="H287:H294">H$24</f>
        <v>0</v>
      </c>
      <c r="I287" s="73"/>
      <c r="J287" s="71"/>
      <c r="K287" s="74">
        <f t="shared" si="158"/>
        <v>0</v>
      </c>
      <c r="L287" s="71">
        <f t="shared" si="156"/>
        <v>1800</v>
      </c>
      <c r="M287" s="71">
        <f t="shared" si="159"/>
        <v>0</v>
      </c>
      <c r="N287" s="71"/>
      <c r="O287" s="71"/>
      <c r="P287" s="75">
        <f t="shared" si="160"/>
        <v>0</v>
      </c>
      <c r="Q287" s="74">
        <f t="shared" si="161"/>
        <v>0</v>
      </c>
      <c r="R287" s="74">
        <f t="shared" si="162"/>
        <v>0</v>
      </c>
      <c r="S287" s="76">
        <f t="shared" si="163"/>
        <v>0</v>
      </c>
    </row>
    <row r="288" spans="1:19" s="39" customFormat="1" ht="12.75" hidden="1">
      <c r="A288" s="69">
        <v>4</v>
      </c>
      <c r="B288" s="70"/>
      <c r="C288" s="71" t="s">
        <v>52</v>
      </c>
      <c r="D288" s="72" t="str">
        <f t="shared" si="157"/>
        <v>услуга 16</v>
      </c>
      <c r="E288" s="71"/>
      <c r="F288" s="71">
        <f t="shared" si="155"/>
        <v>0</v>
      </c>
      <c r="G288" s="71">
        <v>7570</v>
      </c>
      <c r="H288" s="73">
        <f t="shared" si="164"/>
        <v>0</v>
      </c>
      <c r="I288" s="73"/>
      <c r="J288" s="71"/>
      <c r="K288" s="74">
        <f t="shared" si="158"/>
        <v>0</v>
      </c>
      <c r="L288" s="71">
        <f t="shared" si="156"/>
        <v>1800</v>
      </c>
      <c r="M288" s="71">
        <f t="shared" si="159"/>
        <v>0</v>
      </c>
      <c r="N288" s="71"/>
      <c r="O288" s="71"/>
      <c r="P288" s="75">
        <f t="shared" si="160"/>
        <v>0</v>
      </c>
      <c r="Q288" s="74">
        <f t="shared" si="161"/>
        <v>0</v>
      </c>
      <c r="R288" s="74">
        <f t="shared" si="162"/>
        <v>0</v>
      </c>
      <c r="S288" s="76">
        <f t="shared" si="163"/>
        <v>0</v>
      </c>
    </row>
    <row r="289" spans="1:19" s="39" customFormat="1" ht="12.75" hidden="1">
      <c r="A289" s="69">
        <v>5</v>
      </c>
      <c r="B289" s="70"/>
      <c r="C289" s="71" t="s">
        <v>52</v>
      </c>
      <c r="D289" s="72" t="str">
        <f t="shared" si="157"/>
        <v>услуга 16</v>
      </c>
      <c r="E289" s="71"/>
      <c r="F289" s="71">
        <f t="shared" si="155"/>
        <v>0</v>
      </c>
      <c r="G289" s="71">
        <v>7570</v>
      </c>
      <c r="H289" s="73">
        <f t="shared" si="164"/>
        <v>0</v>
      </c>
      <c r="I289" s="73"/>
      <c r="J289" s="71"/>
      <c r="K289" s="74">
        <f t="shared" si="158"/>
        <v>0</v>
      </c>
      <c r="L289" s="71">
        <f t="shared" si="156"/>
        <v>1800</v>
      </c>
      <c r="M289" s="71">
        <f t="shared" si="159"/>
        <v>0</v>
      </c>
      <c r="N289" s="71"/>
      <c r="O289" s="71"/>
      <c r="P289" s="75">
        <f t="shared" si="160"/>
        <v>0</v>
      </c>
      <c r="Q289" s="74">
        <f t="shared" si="161"/>
        <v>0</v>
      </c>
      <c r="R289" s="74">
        <f t="shared" si="162"/>
        <v>0</v>
      </c>
      <c r="S289" s="76">
        <f t="shared" si="163"/>
        <v>0</v>
      </c>
    </row>
    <row r="290" spans="1:19" s="39" customFormat="1" ht="12.75" hidden="1">
      <c r="A290" s="69">
        <v>6</v>
      </c>
      <c r="B290" s="70"/>
      <c r="C290" s="71" t="s">
        <v>52</v>
      </c>
      <c r="D290" s="72" t="str">
        <f t="shared" si="157"/>
        <v>услуга 16</v>
      </c>
      <c r="E290" s="71"/>
      <c r="F290" s="71">
        <f t="shared" si="155"/>
        <v>0</v>
      </c>
      <c r="G290" s="71">
        <v>7570</v>
      </c>
      <c r="H290" s="73">
        <f t="shared" si="164"/>
        <v>0</v>
      </c>
      <c r="I290" s="73"/>
      <c r="J290" s="71"/>
      <c r="K290" s="74">
        <f t="shared" si="158"/>
        <v>0</v>
      </c>
      <c r="L290" s="71">
        <f t="shared" si="156"/>
        <v>1800</v>
      </c>
      <c r="M290" s="71">
        <f t="shared" si="159"/>
        <v>0</v>
      </c>
      <c r="N290" s="71"/>
      <c r="O290" s="71"/>
      <c r="P290" s="75">
        <f t="shared" si="160"/>
        <v>0</v>
      </c>
      <c r="Q290" s="74">
        <f t="shared" si="161"/>
        <v>0</v>
      </c>
      <c r="R290" s="74">
        <f t="shared" si="162"/>
        <v>0</v>
      </c>
      <c r="S290" s="76">
        <f t="shared" si="163"/>
        <v>0</v>
      </c>
    </row>
    <row r="291" spans="1:19" s="39" customFormat="1" ht="12.75" hidden="1">
      <c r="A291" s="69">
        <v>7</v>
      </c>
      <c r="B291" s="70"/>
      <c r="C291" s="71" t="s">
        <v>52</v>
      </c>
      <c r="D291" s="72" t="str">
        <f t="shared" si="157"/>
        <v>услуга 16</v>
      </c>
      <c r="E291" s="71"/>
      <c r="F291" s="71">
        <f t="shared" si="155"/>
        <v>0</v>
      </c>
      <c r="G291" s="71">
        <v>7570</v>
      </c>
      <c r="H291" s="73">
        <f t="shared" si="164"/>
        <v>0</v>
      </c>
      <c r="I291" s="73"/>
      <c r="J291" s="71"/>
      <c r="K291" s="74">
        <f t="shared" si="158"/>
        <v>0</v>
      </c>
      <c r="L291" s="71">
        <f t="shared" si="156"/>
        <v>1800</v>
      </c>
      <c r="M291" s="71">
        <f t="shared" si="159"/>
        <v>0</v>
      </c>
      <c r="N291" s="71"/>
      <c r="O291" s="71"/>
      <c r="P291" s="75">
        <f t="shared" si="160"/>
        <v>0</v>
      </c>
      <c r="Q291" s="74">
        <f t="shared" si="161"/>
        <v>0</v>
      </c>
      <c r="R291" s="74">
        <f t="shared" si="162"/>
        <v>0</v>
      </c>
      <c r="S291" s="76">
        <f t="shared" si="163"/>
        <v>0</v>
      </c>
    </row>
    <row r="292" spans="1:19" s="39" customFormat="1" ht="12.75" hidden="1">
      <c r="A292" s="69">
        <v>8</v>
      </c>
      <c r="B292" s="70"/>
      <c r="C292" s="71" t="s">
        <v>52</v>
      </c>
      <c r="D292" s="72" t="str">
        <f t="shared" si="157"/>
        <v>услуга 16</v>
      </c>
      <c r="E292" s="71"/>
      <c r="F292" s="71">
        <f t="shared" si="155"/>
        <v>0</v>
      </c>
      <c r="G292" s="71">
        <v>7570</v>
      </c>
      <c r="H292" s="73">
        <f t="shared" si="164"/>
        <v>0</v>
      </c>
      <c r="I292" s="73"/>
      <c r="J292" s="71"/>
      <c r="K292" s="74">
        <f t="shared" si="158"/>
        <v>0</v>
      </c>
      <c r="L292" s="71">
        <f t="shared" si="156"/>
        <v>1800</v>
      </c>
      <c r="M292" s="71">
        <f t="shared" si="159"/>
        <v>0</v>
      </c>
      <c r="N292" s="71"/>
      <c r="O292" s="71"/>
      <c r="P292" s="75">
        <f t="shared" si="160"/>
        <v>0</v>
      </c>
      <c r="Q292" s="74">
        <f t="shared" si="161"/>
        <v>0</v>
      </c>
      <c r="R292" s="74">
        <f t="shared" si="162"/>
        <v>0</v>
      </c>
      <c r="S292" s="76">
        <f t="shared" si="163"/>
        <v>0</v>
      </c>
    </row>
    <row r="293" spans="1:19" s="39" customFormat="1" ht="12.75" hidden="1">
      <c r="A293" s="69">
        <v>9</v>
      </c>
      <c r="B293" s="70"/>
      <c r="C293" s="71" t="s">
        <v>52</v>
      </c>
      <c r="D293" s="72" t="str">
        <f t="shared" si="157"/>
        <v>услуга 16</v>
      </c>
      <c r="E293" s="71"/>
      <c r="F293" s="71">
        <f t="shared" si="155"/>
        <v>0</v>
      </c>
      <c r="G293" s="71">
        <v>7570</v>
      </c>
      <c r="H293" s="73">
        <f t="shared" si="164"/>
        <v>0</v>
      </c>
      <c r="I293" s="73"/>
      <c r="J293" s="71"/>
      <c r="K293" s="74">
        <f t="shared" si="158"/>
        <v>0</v>
      </c>
      <c r="L293" s="71">
        <f t="shared" si="156"/>
        <v>1800</v>
      </c>
      <c r="M293" s="71">
        <f t="shared" si="159"/>
        <v>0</v>
      </c>
      <c r="N293" s="71"/>
      <c r="O293" s="71"/>
      <c r="P293" s="75">
        <f t="shared" si="160"/>
        <v>0</v>
      </c>
      <c r="Q293" s="74">
        <f t="shared" si="161"/>
        <v>0</v>
      </c>
      <c r="R293" s="74">
        <f t="shared" si="162"/>
        <v>0</v>
      </c>
      <c r="S293" s="76">
        <f t="shared" si="163"/>
        <v>0</v>
      </c>
    </row>
    <row r="294" spans="1:19" s="39" customFormat="1" ht="12.75" hidden="1">
      <c r="A294" s="69">
        <v>10</v>
      </c>
      <c r="B294" s="70"/>
      <c r="C294" s="71" t="s">
        <v>52</v>
      </c>
      <c r="D294" s="72" t="str">
        <f t="shared" si="157"/>
        <v>услуга 16</v>
      </c>
      <c r="E294" s="71"/>
      <c r="F294" s="71">
        <f t="shared" si="155"/>
        <v>0</v>
      </c>
      <c r="G294" s="71">
        <v>7570</v>
      </c>
      <c r="H294" s="73">
        <f t="shared" si="164"/>
        <v>0</v>
      </c>
      <c r="I294" s="73"/>
      <c r="J294" s="71"/>
      <c r="K294" s="74">
        <f t="shared" si="158"/>
        <v>0</v>
      </c>
      <c r="L294" s="71">
        <f t="shared" si="156"/>
        <v>1800</v>
      </c>
      <c r="M294" s="71">
        <f t="shared" si="159"/>
        <v>0</v>
      </c>
      <c r="N294" s="71"/>
      <c r="O294" s="71"/>
      <c r="P294" s="75">
        <f t="shared" si="160"/>
        <v>0</v>
      </c>
      <c r="Q294" s="74">
        <f t="shared" si="161"/>
        <v>0</v>
      </c>
      <c r="R294" s="74">
        <f t="shared" si="162"/>
        <v>0</v>
      </c>
      <c r="S294" s="76">
        <f t="shared" si="163"/>
        <v>0</v>
      </c>
    </row>
    <row r="295" spans="1:19" s="39" customFormat="1" ht="13.5" hidden="1" thickBot="1">
      <c r="A295" s="113"/>
      <c r="B295" s="114"/>
      <c r="C295" s="114"/>
      <c r="D295" s="114" t="s">
        <v>53</v>
      </c>
      <c r="E295" s="114"/>
      <c r="F295" s="115">
        <f>SUM(F285:F294)</f>
        <v>0</v>
      </c>
      <c r="G295" s="114"/>
      <c r="H295" s="114"/>
      <c r="I295" s="114"/>
      <c r="J295" s="114"/>
      <c r="K295" s="116"/>
      <c r="L295" s="114"/>
      <c r="M295" s="117">
        <f>SUM(M285:M294)</f>
        <v>0</v>
      </c>
      <c r="N295" s="117">
        <f>SUM(N285:N294)</f>
        <v>0</v>
      </c>
      <c r="O295" s="117">
        <f>SUM(O285:O294)</f>
        <v>0</v>
      </c>
      <c r="P295" s="114"/>
      <c r="Q295" s="115">
        <f>SUM(Q285:Q294)</f>
        <v>0</v>
      </c>
      <c r="R295" s="115">
        <f>SUM(R285:R294)</f>
        <v>0</v>
      </c>
      <c r="S295" s="143">
        <f>SUM(S285:S294)</f>
        <v>0</v>
      </c>
    </row>
    <row r="296" spans="1:19" s="39" customFormat="1" ht="12.75" hidden="1">
      <c r="A296" s="118"/>
      <c r="B296" s="92"/>
      <c r="C296" s="92"/>
      <c r="D296" s="92"/>
      <c r="E296" s="92"/>
      <c r="F296" s="93"/>
      <c r="G296" s="92"/>
      <c r="H296" s="92"/>
      <c r="I296" s="92"/>
      <c r="J296" s="92"/>
      <c r="K296" s="94"/>
      <c r="L296" s="92"/>
      <c r="M296" s="95"/>
      <c r="N296" s="95">
        <f>доходы!C27</f>
        <v>0</v>
      </c>
      <c r="O296" s="96" t="s">
        <v>116</v>
      </c>
      <c r="P296" s="119"/>
      <c r="Q296" s="120"/>
      <c r="R296" s="121"/>
      <c r="S296" s="136"/>
    </row>
    <row r="297" spans="1:19" s="39" customFormat="1" ht="12.75" hidden="1">
      <c r="A297" s="137" t="s">
        <v>131</v>
      </c>
      <c r="B297" s="138" t="str">
        <f>доходы!B28</f>
        <v>услуга 17</v>
      </c>
      <c r="C297" s="92"/>
      <c r="D297" s="92"/>
      <c r="E297" s="92"/>
      <c r="F297" s="139"/>
      <c r="G297" s="139"/>
      <c r="H297" s="139"/>
      <c r="I297" s="139"/>
      <c r="J297" s="139"/>
      <c r="K297" s="140"/>
      <c r="L297" s="139"/>
      <c r="M297" s="139"/>
      <c r="N297" s="139"/>
      <c r="O297" s="139"/>
      <c r="P297" s="139"/>
      <c r="Q297" s="139"/>
      <c r="R297" s="139"/>
      <c r="S297" s="141"/>
    </row>
    <row r="298" spans="1:19" s="39" customFormat="1" ht="13.5" hidden="1" thickBot="1">
      <c r="A298" s="142"/>
      <c r="B298" s="139"/>
      <c r="C298" s="139"/>
      <c r="D298" s="139"/>
      <c r="E298" s="139"/>
      <c r="F298" s="139"/>
      <c r="G298" s="139"/>
      <c r="H298" s="139"/>
      <c r="I298" s="139"/>
      <c r="J298" s="139"/>
      <c r="K298" s="140"/>
      <c r="L298" s="139"/>
      <c r="M298" s="139"/>
      <c r="N298" s="139"/>
      <c r="O298" s="139"/>
      <c r="P298" s="139"/>
      <c r="Q298" s="139"/>
      <c r="R298" s="139"/>
      <c r="S298" s="141"/>
    </row>
    <row r="299" spans="1:19" s="39" customFormat="1" ht="51.75" hidden="1" thickBot="1">
      <c r="A299" s="99" t="s">
        <v>1</v>
      </c>
      <c r="B299" s="99" t="s">
        <v>2</v>
      </c>
      <c r="C299" s="99" t="s">
        <v>8</v>
      </c>
      <c r="D299" s="99" t="s">
        <v>3</v>
      </c>
      <c r="E299" s="99" t="s">
        <v>4</v>
      </c>
      <c r="F299" s="99" t="s">
        <v>5</v>
      </c>
      <c r="G299" s="99" t="s">
        <v>64</v>
      </c>
      <c r="H299" s="99" t="s">
        <v>117</v>
      </c>
      <c r="I299" s="99" t="s">
        <v>99</v>
      </c>
      <c r="J299" s="99" t="s">
        <v>65</v>
      </c>
      <c r="K299" s="100" t="s">
        <v>66</v>
      </c>
      <c r="L299" s="99" t="s">
        <v>67</v>
      </c>
      <c r="M299" s="99" t="s">
        <v>6</v>
      </c>
      <c r="N299" s="99" t="s">
        <v>54</v>
      </c>
      <c r="O299" s="99" t="s">
        <v>7</v>
      </c>
      <c r="P299" s="99" t="s">
        <v>48</v>
      </c>
      <c r="Q299" s="99" t="s">
        <v>49</v>
      </c>
      <c r="R299" s="99" t="s">
        <v>50</v>
      </c>
      <c r="S299" s="99" t="s">
        <v>51</v>
      </c>
    </row>
    <row r="300" spans="1:19" s="39" customFormat="1" ht="12.75" hidden="1">
      <c r="A300" s="101">
        <v>1</v>
      </c>
      <c r="B300" s="102">
        <v>2</v>
      </c>
      <c r="C300" s="102">
        <v>3</v>
      </c>
      <c r="D300" s="102">
        <v>4</v>
      </c>
      <c r="E300" s="102">
        <v>5</v>
      </c>
      <c r="F300" s="102">
        <v>6</v>
      </c>
      <c r="G300" s="102">
        <v>7</v>
      </c>
      <c r="H300" s="102">
        <v>8</v>
      </c>
      <c r="I300" s="102">
        <v>9</v>
      </c>
      <c r="J300" s="102">
        <v>10</v>
      </c>
      <c r="K300" s="104">
        <v>11</v>
      </c>
      <c r="L300" s="102">
        <v>12</v>
      </c>
      <c r="M300" s="102">
        <v>13</v>
      </c>
      <c r="N300" s="102">
        <v>14</v>
      </c>
      <c r="O300" s="102">
        <v>15</v>
      </c>
      <c r="P300" s="102">
        <v>16</v>
      </c>
      <c r="Q300" s="102">
        <v>17</v>
      </c>
      <c r="R300" s="102">
        <v>18</v>
      </c>
      <c r="S300" s="105">
        <v>19</v>
      </c>
    </row>
    <row r="301" spans="1:19" s="39" customFormat="1" ht="12.75" hidden="1">
      <c r="A301" s="69">
        <v>1</v>
      </c>
      <c r="B301" s="70" t="s">
        <v>118</v>
      </c>
      <c r="C301" s="71" t="s">
        <v>52</v>
      </c>
      <c r="D301" s="72" t="str">
        <f>B$297</f>
        <v>услуга 17</v>
      </c>
      <c r="E301" s="71"/>
      <c r="F301" s="71">
        <f aca="true" t="shared" si="165" ref="F301:F310">ROUND(O301/18/4,2)</f>
        <v>0</v>
      </c>
      <c r="G301" s="71">
        <v>7570</v>
      </c>
      <c r="H301" s="73">
        <v>0.15</v>
      </c>
      <c r="I301" s="73">
        <v>0</v>
      </c>
      <c r="J301" s="71"/>
      <c r="K301" s="74">
        <f>(G301+G301*(H301+I301))*J301</f>
        <v>0</v>
      </c>
      <c r="L301" s="71">
        <f aca="true" t="shared" si="166" ref="L301:L310">18*25*4</f>
        <v>1800</v>
      </c>
      <c r="M301" s="71">
        <f>N301*O301</f>
        <v>0</v>
      </c>
      <c r="N301" s="71"/>
      <c r="O301" s="71"/>
      <c r="P301" s="75">
        <f>ROUND(K301/L301,2)</f>
        <v>0</v>
      </c>
      <c r="Q301" s="74">
        <f>N301*O301*P301</f>
        <v>0</v>
      </c>
      <c r="R301" s="74">
        <f>Q301*0.15</f>
        <v>0</v>
      </c>
      <c r="S301" s="76">
        <f>Q301+R301</f>
        <v>0</v>
      </c>
    </row>
    <row r="302" spans="1:19" s="39" customFormat="1" ht="12.75" hidden="1">
      <c r="A302" s="69">
        <v>2</v>
      </c>
      <c r="B302" s="70"/>
      <c r="C302" s="71" t="s">
        <v>52</v>
      </c>
      <c r="D302" s="72" t="str">
        <f aca="true" t="shared" si="167" ref="D302:D310">B$297</f>
        <v>услуга 17</v>
      </c>
      <c r="E302" s="71"/>
      <c r="F302" s="71">
        <f t="shared" si="165"/>
        <v>0</v>
      </c>
      <c r="G302" s="71">
        <v>7570</v>
      </c>
      <c r="H302" s="73">
        <f>H$24</f>
        <v>0</v>
      </c>
      <c r="I302" s="73">
        <v>0</v>
      </c>
      <c r="J302" s="71"/>
      <c r="K302" s="74">
        <f aca="true" t="shared" si="168" ref="K302:K310">(G302+G302*(H302+I302))*J302</f>
        <v>0</v>
      </c>
      <c r="L302" s="71">
        <f t="shared" si="166"/>
        <v>1800</v>
      </c>
      <c r="M302" s="71">
        <f aca="true" t="shared" si="169" ref="M302:M310">N302*O302</f>
        <v>0</v>
      </c>
      <c r="N302" s="71"/>
      <c r="O302" s="71"/>
      <c r="P302" s="75">
        <f aca="true" t="shared" si="170" ref="P302:P310">ROUND(K302/L302,2)</f>
        <v>0</v>
      </c>
      <c r="Q302" s="74">
        <f aca="true" t="shared" si="171" ref="Q302:Q310">N302*O302*P302</f>
        <v>0</v>
      </c>
      <c r="R302" s="74">
        <f aca="true" t="shared" si="172" ref="R302:R310">Q302*0.15</f>
        <v>0</v>
      </c>
      <c r="S302" s="76">
        <f aca="true" t="shared" si="173" ref="S302:S310">Q302+R302</f>
        <v>0</v>
      </c>
    </row>
    <row r="303" spans="1:19" s="39" customFormat="1" ht="12.75" hidden="1">
      <c r="A303" s="69">
        <v>3</v>
      </c>
      <c r="B303" s="70"/>
      <c r="C303" s="71" t="s">
        <v>52</v>
      </c>
      <c r="D303" s="72" t="str">
        <f t="shared" si="167"/>
        <v>услуга 17</v>
      </c>
      <c r="E303" s="71"/>
      <c r="F303" s="71">
        <f t="shared" si="165"/>
        <v>0</v>
      </c>
      <c r="G303" s="71">
        <v>7570</v>
      </c>
      <c r="H303" s="73">
        <f aca="true" t="shared" si="174" ref="H303:H310">H$24</f>
        <v>0</v>
      </c>
      <c r="I303" s="73"/>
      <c r="J303" s="71"/>
      <c r="K303" s="74">
        <f t="shared" si="168"/>
        <v>0</v>
      </c>
      <c r="L303" s="71">
        <f t="shared" si="166"/>
        <v>1800</v>
      </c>
      <c r="M303" s="71">
        <f t="shared" si="169"/>
        <v>0</v>
      </c>
      <c r="N303" s="71"/>
      <c r="O303" s="71"/>
      <c r="P303" s="75">
        <f t="shared" si="170"/>
        <v>0</v>
      </c>
      <c r="Q303" s="74">
        <f t="shared" si="171"/>
        <v>0</v>
      </c>
      <c r="R303" s="74">
        <f t="shared" si="172"/>
        <v>0</v>
      </c>
      <c r="S303" s="76">
        <f t="shared" si="173"/>
        <v>0</v>
      </c>
    </row>
    <row r="304" spans="1:19" s="39" customFormat="1" ht="12.75" hidden="1">
      <c r="A304" s="69">
        <v>4</v>
      </c>
      <c r="B304" s="70"/>
      <c r="C304" s="71" t="s">
        <v>52</v>
      </c>
      <c r="D304" s="72" t="str">
        <f t="shared" si="167"/>
        <v>услуга 17</v>
      </c>
      <c r="E304" s="71"/>
      <c r="F304" s="71">
        <f t="shared" si="165"/>
        <v>0</v>
      </c>
      <c r="G304" s="71">
        <v>7570</v>
      </c>
      <c r="H304" s="73">
        <f t="shared" si="174"/>
        <v>0</v>
      </c>
      <c r="I304" s="73"/>
      <c r="J304" s="71"/>
      <c r="K304" s="74">
        <f t="shared" si="168"/>
        <v>0</v>
      </c>
      <c r="L304" s="71">
        <f t="shared" si="166"/>
        <v>1800</v>
      </c>
      <c r="M304" s="71">
        <f t="shared" si="169"/>
        <v>0</v>
      </c>
      <c r="N304" s="71"/>
      <c r="O304" s="71"/>
      <c r="P304" s="75">
        <f t="shared" si="170"/>
        <v>0</v>
      </c>
      <c r="Q304" s="74">
        <f t="shared" si="171"/>
        <v>0</v>
      </c>
      <c r="R304" s="74">
        <f t="shared" si="172"/>
        <v>0</v>
      </c>
      <c r="S304" s="76">
        <f t="shared" si="173"/>
        <v>0</v>
      </c>
    </row>
    <row r="305" spans="1:19" s="39" customFormat="1" ht="12.75" hidden="1">
      <c r="A305" s="69">
        <v>5</v>
      </c>
      <c r="B305" s="70"/>
      <c r="C305" s="71" t="s">
        <v>52</v>
      </c>
      <c r="D305" s="72" t="str">
        <f t="shared" si="167"/>
        <v>услуга 17</v>
      </c>
      <c r="E305" s="71"/>
      <c r="F305" s="71">
        <f t="shared" si="165"/>
        <v>0</v>
      </c>
      <c r="G305" s="71">
        <v>7570</v>
      </c>
      <c r="H305" s="73">
        <f t="shared" si="174"/>
        <v>0</v>
      </c>
      <c r="I305" s="73"/>
      <c r="J305" s="71"/>
      <c r="K305" s="74">
        <f t="shared" si="168"/>
        <v>0</v>
      </c>
      <c r="L305" s="71">
        <f t="shared" si="166"/>
        <v>1800</v>
      </c>
      <c r="M305" s="71">
        <f t="shared" si="169"/>
        <v>0</v>
      </c>
      <c r="N305" s="71"/>
      <c r="O305" s="71"/>
      <c r="P305" s="75">
        <f t="shared" si="170"/>
        <v>0</v>
      </c>
      <c r="Q305" s="74">
        <f t="shared" si="171"/>
        <v>0</v>
      </c>
      <c r="R305" s="74">
        <f t="shared" si="172"/>
        <v>0</v>
      </c>
      <c r="S305" s="76">
        <f t="shared" si="173"/>
        <v>0</v>
      </c>
    </row>
    <row r="306" spans="1:19" s="39" customFormat="1" ht="12.75" hidden="1">
      <c r="A306" s="69">
        <v>6</v>
      </c>
      <c r="B306" s="70"/>
      <c r="C306" s="71" t="s">
        <v>52</v>
      </c>
      <c r="D306" s="72" t="str">
        <f t="shared" si="167"/>
        <v>услуга 17</v>
      </c>
      <c r="E306" s="71"/>
      <c r="F306" s="71">
        <f t="shared" si="165"/>
        <v>0</v>
      </c>
      <c r="G306" s="71">
        <v>7570</v>
      </c>
      <c r="H306" s="73">
        <f t="shared" si="174"/>
        <v>0</v>
      </c>
      <c r="I306" s="73"/>
      <c r="J306" s="71"/>
      <c r="K306" s="74">
        <f t="shared" si="168"/>
        <v>0</v>
      </c>
      <c r="L306" s="71">
        <f t="shared" si="166"/>
        <v>1800</v>
      </c>
      <c r="M306" s="71">
        <f t="shared" si="169"/>
        <v>0</v>
      </c>
      <c r="N306" s="71"/>
      <c r="O306" s="71"/>
      <c r="P306" s="75">
        <f t="shared" si="170"/>
        <v>0</v>
      </c>
      <c r="Q306" s="74">
        <f t="shared" si="171"/>
        <v>0</v>
      </c>
      <c r="R306" s="74">
        <f t="shared" si="172"/>
        <v>0</v>
      </c>
      <c r="S306" s="76">
        <f t="shared" si="173"/>
        <v>0</v>
      </c>
    </row>
    <row r="307" spans="1:19" s="39" customFormat="1" ht="12.75" hidden="1">
      <c r="A307" s="69">
        <v>7</v>
      </c>
      <c r="B307" s="70"/>
      <c r="C307" s="71" t="s">
        <v>52</v>
      </c>
      <c r="D307" s="72" t="str">
        <f t="shared" si="167"/>
        <v>услуга 17</v>
      </c>
      <c r="E307" s="71"/>
      <c r="F307" s="71">
        <f t="shared" si="165"/>
        <v>0</v>
      </c>
      <c r="G307" s="71">
        <v>7570</v>
      </c>
      <c r="H307" s="73">
        <f t="shared" si="174"/>
        <v>0</v>
      </c>
      <c r="I307" s="73"/>
      <c r="J307" s="71"/>
      <c r="K307" s="74">
        <f t="shared" si="168"/>
        <v>0</v>
      </c>
      <c r="L307" s="71">
        <f t="shared" si="166"/>
        <v>1800</v>
      </c>
      <c r="M307" s="71">
        <f t="shared" si="169"/>
        <v>0</v>
      </c>
      <c r="N307" s="71"/>
      <c r="O307" s="71"/>
      <c r="P307" s="75">
        <f t="shared" si="170"/>
        <v>0</v>
      </c>
      <c r="Q307" s="74">
        <f t="shared" si="171"/>
        <v>0</v>
      </c>
      <c r="R307" s="74">
        <f t="shared" si="172"/>
        <v>0</v>
      </c>
      <c r="S307" s="76">
        <f t="shared" si="173"/>
        <v>0</v>
      </c>
    </row>
    <row r="308" spans="1:19" s="39" customFormat="1" ht="12.75" hidden="1">
      <c r="A308" s="69">
        <v>8</v>
      </c>
      <c r="B308" s="70"/>
      <c r="C308" s="71" t="s">
        <v>52</v>
      </c>
      <c r="D308" s="72" t="str">
        <f t="shared" si="167"/>
        <v>услуга 17</v>
      </c>
      <c r="E308" s="71"/>
      <c r="F308" s="71">
        <f t="shared" si="165"/>
        <v>0</v>
      </c>
      <c r="G308" s="71">
        <v>7570</v>
      </c>
      <c r="H308" s="73">
        <f t="shared" si="174"/>
        <v>0</v>
      </c>
      <c r="I308" s="73"/>
      <c r="J308" s="71"/>
      <c r="K308" s="74">
        <f t="shared" si="168"/>
        <v>0</v>
      </c>
      <c r="L308" s="71">
        <f t="shared" si="166"/>
        <v>1800</v>
      </c>
      <c r="M308" s="71">
        <f t="shared" si="169"/>
        <v>0</v>
      </c>
      <c r="N308" s="71"/>
      <c r="O308" s="71"/>
      <c r="P308" s="75">
        <f t="shared" si="170"/>
        <v>0</v>
      </c>
      <c r="Q308" s="74">
        <f t="shared" si="171"/>
        <v>0</v>
      </c>
      <c r="R308" s="74">
        <f t="shared" si="172"/>
        <v>0</v>
      </c>
      <c r="S308" s="76">
        <f t="shared" si="173"/>
        <v>0</v>
      </c>
    </row>
    <row r="309" spans="1:19" s="39" customFormat="1" ht="12.75" hidden="1">
      <c r="A309" s="69">
        <v>9</v>
      </c>
      <c r="B309" s="70"/>
      <c r="C309" s="71" t="s">
        <v>52</v>
      </c>
      <c r="D309" s="72" t="str">
        <f t="shared" si="167"/>
        <v>услуга 17</v>
      </c>
      <c r="E309" s="71"/>
      <c r="F309" s="71">
        <f t="shared" si="165"/>
        <v>0</v>
      </c>
      <c r="G309" s="71">
        <v>7570</v>
      </c>
      <c r="H309" s="73">
        <f t="shared" si="174"/>
        <v>0</v>
      </c>
      <c r="I309" s="73"/>
      <c r="J309" s="71"/>
      <c r="K309" s="74">
        <f t="shared" si="168"/>
        <v>0</v>
      </c>
      <c r="L309" s="71">
        <f t="shared" si="166"/>
        <v>1800</v>
      </c>
      <c r="M309" s="71">
        <f t="shared" si="169"/>
        <v>0</v>
      </c>
      <c r="N309" s="71"/>
      <c r="O309" s="71"/>
      <c r="P309" s="75">
        <f t="shared" si="170"/>
        <v>0</v>
      </c>
      <c r="Q309" s="74">
        <f t="shared" si="171"/>
        <v>0</v>
      </c>
      <c r="R309" s="74">
        <f t="shared" si="172"/>
        <v>0</v>
      </c>
      <c r="S309" s="76">
        <f t="shared" si="173"/>
        <v>0</v>
      </c>
    </row>
    <row r="310" spans="1:19" s="39" customFormat="1" ht="12.75" hidden="1">
      <c r="A310" s="69">
        <v>10</v>
      </c>
      <c r="B310" s="70"/>
      <c r="C310" s="71" t="s">
        <v>52</v>
      </c>
      <c r="D310" s="72" t="str">
        <f t="shared" si="167"/>
        <v>услуга 17</v>
      </c>
      <c r="E310" s="71"/>
      <c r="F310" s="71">
        <f t="shared" si="165"/>
        <v>0</v>
      </c>
      <c r="G310" s="71">
        <v>7570</v>
      </c>
      <c r="H310" s="73">
        <f t="shared" si="174"/>
        <v>0</v>
      </c>
      <c r="I310" s="73"/>
      <c r="J310" s="71"/>
      <c r="K310" s="74">
        <f t="shared" si="168"/>
        <v>0</v>
      </c>
      <c r="L310" s="71">
        <f t="shared" si="166"/>
        <v>1800</v>
      </c>
      <c r="M310" s="71">
        <f t="shared" si="169"/>
        <v>0</v>
      </c>
      <c r="N310" s="71"/>
      <c r="O310" s="71"/>
      <c r="P310" s="75">
        <f t="shared" si="170"/>
        <v>0</v>
      </c>
      <c r="Q310" s="74">
        <f t="shared" si="171"/>
        <v>0</v>
      </c>
      <c r="R310" s="74">
        <f t="shared" si="172"/>
        <v>0</v>
      </c>
      <c r="S310" s="76">
        <f t="shared" si="173"/>
        <v>0</v>
      </c>
    </row>
    <row r="311" spans="1:19" s="39" customFormat="1" ht="13.5" hidden="1" thickBot="1">
      <c r="A311" s="113"/>
      <c r="B311" s="114"/>
      <c r="C311" s="114"/>
      <c r="D311" s="114" t="s">
        <v>53</v>
      </c>
      <c r="E311" s="114"/>
      <c r="F311" s="115">
        <f>SUM(F301:F310)</f>
        <v>0</v>
      </c>
      <c r="G311" s="114"/>
      <c r="H311" s="114"/>
      <c r="I311" s="114"/>
      <c r="J311" s="114"/>
      <c r="K311" s="116"/>
      <c r="L311" s="114"/>
      <c r="M311" s="117">
        <f>SUM(M301:M310)</f>
        <v>0</v>
      </c>
      <c r="N311" s="117">
        <f>SUM(N301:N310)</f>
        <v>0</v>
      </c>
      <c r="O311" s="117">
        <f>SUM(O301:O310)</f>
        <v>0</v>
      </c>
      <c r="P311" s="114"/>
      <c r="Q311" s="115">
        <f>SUM(Q301:Q310)</f>
        <v>0</v>
      </c>
      <c r="R311" s="115">
        <f>SUM(R301:R310)</f>
        <v>0</v>
      </c>
      <c r="S311" s="143">
        <f>SUM(S301:S310)</f>
        <v>0</v>
      </c>
    </row>
    <row r="312" spans="1:19" s="39" customFormat="1" ht="12.75" hidden="1">
      <c r="A312" s="118"/>
      <c r="B312" s="92"/>
      <c r="C312" s="92"/>
      <c r="D312" s="92"/>
      <c r="E312" s="92"/>
      <c r="F312" s="93"/>
      <c r="G312" s="92"/>
      <c r="H312" s="92"/>
      <c r="I312" s="92"/>
      <c r="J312" s="92"/>
      <c r="K312" s="94"/>
      <c r="L312" s="92"/>
      <c r="M312" s="95"/>
      <c r="N312" s="95">
        <f>доходы!C28</f>
        <v>0</v>
      </c>
      <c r="O312" s="96" t="s">
        <v>116</v>
      </c>
      <c r="P312" s="119"/>
      <c r="Q312" s="120"/>
      <c r="R312" s="121"/>
      <c r="S312" s="136"/>
    </row>
    <row r="313" spans="1:19" s="39" customFormat="1" ht="12.75" hidden="1">
      <c r="A313" s="137" t="s">
        <v>132</v>
      </c>
      <c r="B313" s="138" t="str">
        <f>доходы!B29</f>
        <v>услуга 18</v>
      </c>
      <c r="C313" s="92"/>
      <c r="D313" s="92"/>
      <c r="E313" s="92"/>
      <c r="F313" s="139"/>
      <c r="G313" s="139"/>
      <c r="H313" s="139"/>
      <c r="I313" s="139"/>
      <c r="J313" s="139"/>
      <c r="K313" s="140"/>
      <c r="L313" s="139"/>
      <c r="M313" s="139"/>
      <c r="N313" s="139"/>
      <c r="O313" s="139"/>
      <c r="P313" s="139"/>
      <c r="Q313" s="139"/>
      <c r="R313" s="139"/>
      <c r="S313" s="141"/>
    </row>
    <row r="314" spans="1:19" s="39" customFormat="1" ht="13.5" hidden="1" thickBot="1">
      <c r="A314" s="142"/>
      <c r="B314" s="139"/>
      <c r="C314" s="139"/>
      <c r="D314" s="139"/>
      <c r="E314" s="139"/>
      <c r="F314" s="139"/>
      <c r="G314" s="139"/>
      <c r="H314" s="139"/>
      <c r="I314" s="139"/>
      <c r="J314" s="139"/>
      <c r="K314" s="140"/>
      <c r="L314" s="139"/>
      <c r="M314" s="139"/>
      <c r="N314" s="139"/>
      <c r="O314" s="139"/>
      <c r="P314" s="139"/>
      <c r="Q314" s="139"/>
      <c r="R314" s="139"/>
      <c r="S314" s="141"/>
    </row>
    <row r="315" spans="1:19" s="39" customFormat="1" ht="51.75" hidden="1" thickBot="1">
      <c r="A315" s="99" t="s">
        <v>1</v>
      </c>
      <c r="B315" s="99" t="s">
        <v>2</v>
      </c>
      <c r="C315" s="99" t="s">
        <v>8</v>
      </c>
      <c r="D315" s="99" t="s">
        <v>3</v>
      </c>
      <c r="E315" s="99" t="s">
        <v>4</v>
      </c>
      <c r="F315" s="99" t="s">
        <v>5</v>
      </c>
      <c r="G315" s="99" t="s">
        <v>64</v>
      </c>
      <c r="H315" s="99" t="s">
        <v>117</v>
      </c>
      <c r="I315" s="99" t="s">
        <v>99</v>
      </c>
      <c r="J315" s="99" t="s">
        <v>65</v>
      </c>
      <c r="K315" s="100" t="s">
        <v>66</v>
      </c>
      <c r="L315" s="99" t="s">
        <v>67</v>
      </c>
      <c r="M315" s="99" t="s">
        <v>6</v>
      </c>
      <c r="N315" s="99" t="s">
        <v>54</v>
      </c>
      <c r="O315" s="99" t="s">
        <v>7</v>
      </c>
      <c r="P315" s="99" t="s">
        <v>48</v>
      </c>
      <c r="Q315" s="99" t="s">
        <v>49</v>
      </c>
      <c r="R315" s="99" t="s">
        <v>50</v>
      </c>
      <c r="S315" s="99" t="s">
        <v>51</v>
      </c>
    </row>
    <row r="316" spans="1:19" s="39" customFormat="1" ht="12.75" hidden="1">
      <c r="A316" s="101">
        <v>1</v>
      </c>
      <c r="B316" s="102">
        <v>2</v>
      </c>
      <c r="C316" s="102">
        <v>3</v>
      </c>
      <c r="D316" s="102">
        <v>4</v>
      </c>
      <c r="E316" s="102">
        <v>5</v>
      </c>
      <c r="F316" s="102">
        <v>6</v>
      </c>
      <c r="G316" s="102">
        <v>7</v>
      </c>
      <c r="H316" s="102">
        <v>8</v>
      </c>
      <c r="I316" s="102">
        <v>9</v>
      </c>
      <c r="J316" s="102">
        <v>10</v>
      </c>
      <c r="K316" s="104">
        <v>11</v>
      </c>
      <c r="L316" s="102">
        <v>12</v>
      </c>
      <c r="M316" s="102">
        <v>13</v>
      </c>
      <c r="N316" s="102">
        <v>14</v>
      </c>
      <c r="O316" s="102">
        <v>15</v>
      </c>
      <c r="P316" s="102">
        <v>16</v>
      </c>
      <c r="Q316" s="102">
        <v>17</v>
      </c>
      <c r="R316" s="102">
        <v>18</v>
      </c>
      <c r="S316" s="105">
        <v>19</v>
      </c>
    </row>
    <row r="317" spans="1:19" s="39" customFormat="1" ht="12.75" hidden="1">
      <c r="A317" s="69">
        <v>1</v>
      </c>
      <c r="B317" s="70" t="s">
        <v>118</v>
      </c>
      <c r="C317" s="71" t="s">
        <v>52</v>
      </c>
      <c r="D317" s="72" t="str">
        <f>B$313</f>
        <v>услуга 18</v>
      </c>
      <c r="E317" s="71"/>
      <c r="F317" s="71">
        <f aca="true" t="shared" si="175" ref="F317:F326">ROUND(O317/18/4,2)</f>
        <v>0</v>
      </c>
      <c r="G317" s="71">
        <v>7570</v>
      </c>
      <c r="H317" s="73">
        <v>0.15</v>
      </c>
      <c r="I317" s="73">
        <v>0</v>
      </c>
      <c r="J317" s="71"/>
      <c r="K317" s="74">
        <f>(G317+G317*(H317+I317))*J317</f>
        <v>0</v>
      </c>
      <c r="L317" s="71">
        <f aca="true" t="shared" si="176" ref="L317:L326">18*25*4</f>
        <v>1800</v>
      </c>
      <c r="M317" s="71">
        <f>N317*O317</f>
        <v>0</v>
      </c>
      <c r="N317" s="71"/>
      <c r="O317" s="71"/>
      <c r="P317" s="75">
        <f>ROUND(K317/L317,2)</f>
        <v>0</v>
      </c>
      <c r="Q317" s="74">
        <f>N317*O317*P317</f>
        <v>0</v>
      </c>
      <c r="R317" s="74">
        <f>Q317*0.15</f>
        <v>0</v>
      </c>
      <c r="S317" s="76">
        <f>Q317+R317</f>
        <v>0</v>
      </c>
    </row>
    <row r="318" spans="1:19" s="39" customFormat="1" ht="12.75" hidden="1">
      <c r="A318" s="69">
        <v>2</v>
      </c>
      <c r="B318" s="70"/>
      <c r="C318" s="71" t="s">
        <v>52</v>
      </c>
      <c r="D318" s="72" t="str">
        <f aca="true" t="shared" si="177" ref="D318:D326">B$313</f>
        <v>услуга 18</v>
      </c>
      <c r="E318" s="71"/>
      <c r="F318" s="71">
        <f t="shared" si="175"/>
        <v>0</v>
      </c>
      <c r="G318" s="71">
        <v>7570</v>
      </c>
      <c r="H318" s="73">
        <f>H$24</f>
        <v>0</v>
      </c>
      <c r="I318" s="73">
        <v>0</v>
      </c>
      <c r="J318" s="71"/>
      <c r="K318" s="74">
        <f aca="true" t="shared" si="178" ref="K318:K326">(G318+G318*(H318+I318))*J318</f>
        <v>0</v>
      </c>
      <c r="L318" s="71">
        <f t="shared" si="176"/>
        <v>1800</v>
      </c>
      <c r="M318" s="71">
        <f aca="true" t="shared" si="179" ref="M318:M326">N318*O318</f>
        <v>0</v>
      </c>
      <c r="N318" s="71"/>
      <c r="O318" s="71"/>
      <c r="P318" s="75">
        <f aca="true" t="shared" si="180" ref="P318:P326">ROUND(K318/L318,2)</f>
        <v>0</v>
      </c>
      <c r="Q318" s="74">
        <f aca="true" t="shared" si="181" ref="Q318:Q326">N318*O318*P318</f>
        <v>0</v>
      </c>
      <c r="R318" s="74">
        <f aca="true" t="shared" si="182" ref="R318:R326">Q318*0.15</f>
        <v>0</v>
      </c>
      <c r="S318" s="76">
        <f aca="true" t="shared" si="183" ref="S318:S326">Q318+R318</f>
        <v>0</v>
      </c>
    </row>
    <row r="319" spans="1:19" s="39" customFormat="1" ht="12.75" hidden="1">
      <c r="A319" s="69">
        <v>3</v>
      </c>
      <c r="B319" s="70"/>
      <c r="C319" s="71" t="s">
        <v>52</v>
      </c>
      <c r="D319" s="72" t="str">
        <f t="shared" si="177"/>
        <v>услуга 18</v>
      </c>
      <c r="E319" s="71"/>
      <c r="F319" s="71">
        <f t="shared" si="175"/>
        <v>0</v>
      </c>
      <c r="G319" s="71">
        <v>7570</v>
      </c>
      <c r="H319" s="73">
        <f aca="true" t="shared" si="184" ref="H319:H326">H$24</f>
        <v>0</v>
      </c>
      <c r="I319" s="73"/>
      <c r="J319" s="71"/>
      <c r="K319" s="74">
        <f t="shared" si="178"/>
        <v>0</v>
      </c>
      <c r="L319" s="71">
        <f t="shared" si="176"/>
        <v>1800</v>
      </c>
      <c r="M319" s="71">
        <f t="shared" si="179"/>
        <v>0</v>
      </c>
      <c r="N319" s="71"/>
      <c r="O319" s="71"/>
      <c r="P319" s="75">
        <f t="shared" si="180"/>
        <v>0</v>
      </c>
      <c r="Q319" s="74">
        <f t="shared" si="181"/>
        <v>0</v>
      </c>
      <c r="R319" s="74">
        <f t="shared" si="182"/>
        <v>0</v>
      </c>
      <c r="S319" s="76">
        <f t="shared" si="183"/>
        <v>0</v>
      </c>
    </row>
    <row r="320" spans="1:19" s="39" customFormat="1" ht="12.75" hidden="1">
      <c r="A320" s="69">
        <v>4</v>
      </c>
      <c r="B320" s="70"/>
      <c r="C320" s="71" t="s">
        <v>52</v>
      </c>
      <c r="D320" s="72" t="str">
        <f t="shared" si="177"/>
        <v>услуга 18</v>
      </c>
      <c r="E320" s="71"/>
      <c r="F320" s="71">
        <f t="shared" si="175"/>
        <v>0</v>
      </c>
      <c r="G320" s="71">
        <v>7570</v>
      </c>
      <c r="H320" s="73">
        <f t="shared" si="184"/>
        <v>0</v>
      </c>
      <c r="I320" s="73"/>
      <c r="J320" s="71"/>
      <c r="K320" s="74">
        <f t="shared" si="178"/>
        <v>0</v>
      </c>
      <c r="L320" s="71">
        <f t="shared" si="176"/>
        <v>1800</v>
      </c>
      <c r="M320" s="71">
        <f t="shared" si="179"/>
        <v>0</v>
      </c>
      <c r="N320" s="71"/>
      <c r="O320" s="71"/>
      <c r="P320" s="75">
        <f t="shared" si="180"/>
        <v>0</v>
      </c>
      <c r="Q320" s="74">
        <f t="shared" si="181"/>
        <v>0</v>
      </c>
      <c r="R320" s="74">
        <f t="shared" si="182"/>
        <v>0</v>
      </c>
      <c r="S320" s="76">
        <f t="shared" si="183"/>
        <v>0</v>
      </c>
    </row>
    <row r="321" spans="1:19" s="39" customFormat="1" ht="12.75" hidden="1">
      <c r="A321" s="69">
        <v>5</v>
      </c>
      <c r="B321" s="70"/>
      <c r="C321" s="71" t="s">
        <v>52</v>
      </c>
      <c r="D321" s="72" t="str">
        <f t="shared" si="177"/>
        <v>услуга 18</v>
      </c>
      <c r="E321" s="71"/>
      <c r="F321" s="71">
        <f t="shared" si="175"/>
        <v>0</v>
      </c>
      <c r="G321" s="71">
        <v>7570</v>
      </c>
      <c r="H321" s="73">
        <f t="shared" si="184"/>
        <v>0</v>
      </c>
      <c r="I321" s="73"/>
      <c r="J321" s="71"/>
      <c r="K321" s="74">
        <f t="shared" si="178"/>
        <v>0</v>
      </c>
      <c r="L321" s="71">
        <f t="shared" si="176"/>
        <v>1800</v>
      </c>
      <c r="M321" s="71">
        <f t="shared" si="179"/>
        <v>0</v>
      </c>
      <c r="N321" s="71"/>
      <c r="O321" s="71"/>
      <c r="P321" s="75">
        <f t="shared" si="180"/>
        <v>0</v>
      </c>
      <c r="Q321" s="74">
        <f t="shared" si="181"/>
        <v>0</v>
      </c>
      <c r="R321" s="74">
        <f t="shared" si="182"/>
        <v>0</v>
      </c>
      <c r="S321" s="76">
        <f t="shared" si="183"/>
        <v>0</v>
      </c>
    </row>
    <row r="322" spans="1:19" s="39" customFormat="1" ht="12.75" hidden="1">
      <c r="A322" s="69">
        <v>6</v>
      </c>
      <c r="B322" s="70"/>
      <c r="C322" s="71" t="s">
        <v>52</v>
      </c>
      <c r="D322" s="72" t="str">
        <f t="shared" si="177"/>
        <v>услуга 18</v>
      </c>
      <c r="E322" s="71"/>
      <c r="F322" s="71">
        <f t="shared" si="175"/>
        <v>0</v>
      </c>
      <c r="G322" s="71">
        <v>7570</v>
      </c>
      <c r="H322" s="73">
        <f t="shared" si="184"/>
        <v>0</v>
      </c>
      <c r="I322" s="73"/>
      <c r="J322" s="71"/>
      <c r="K322" s="74">
        <f t="shared" si="178"/>
        <v>0</v>
      </c>
      <c r="L322" s="71">
        <f t="shared" si="176"/>
        <v>1800</v>
      </c>
      <c r="M322" s="71">
        <f t="shared" si="179"/>
        <v>0</v>
      </c>
      <c r="N322" s="71"/>
      <c r="O322" s="71"/>
      <c r="P322" s="75">
        <f t="shared" si="180"/>
        <v>0</v>
      </c>
      <c r="Q322" s="74">
        <f t="shared" si="181"/>
        <v>0</v>
      </c>
      <c r="R322" s="74">
        <f t="shared" si="182"/>
        <v>0</v>
      </c>
      <c r="S322" s="76">
        <f t="shared" si="183"/>
        <v>0</v>
      </c>
    </row>
    <row r="323" spans="1:19" s="39" customFormat="1" ht="12.75" hidden="1">
      <c r="A323" s="69">
        <v>7</v>
      </c>
      <c r="B323" s="70"/>
      <c r="C323" s="71" t="s">
        <v>52</v>
      </c>
      <c r="D323" s="72" t="str">
        <f t="shared" si="177"/>
        <v>услуга 18</v>
      </c>
      <c r="E323" s="71"/>
      <c r="F323" s="71">
        <f t="shared" si="175"/>
        <v>0</v>
      </c>
      <c r="G323" s="71">
        <v>7570</v>
      </c>
      <c r="H323" s="73">
        <f t="shared" si="184"/>
        <v>0</v>
      </c>
      <c r="I323" s="73"/>
      <c r="J323" s="71"/>
      <c r="K323" s="74">
        <f t="shared" si="178"/>
        <v>0</v>
      </c>
      <c r="L323" s="71">
        <f t="shared" si="176"/>
        <v>1800</v>
      </c>
      <c r="M323" s="71">
        <f t="shared" si="179"/>
        <v>0</v>
      </c>
      <c r="N323" s="71"/>
      <c r="O323" s="71"/>
      <c r="P323" s="75">
        <f t="shared" si="180"/>
        <v>0</v>
      </c>
      <c r="Q323" s="74">
        <f t="shared" si="181"/>
        <v>0</v>
      </c>
      <c r="R323" s="74">
        <f t="shared" si="182"/>
        <v>0</v>
      </c>
      <c r="S323" s="76">
        <f t="shared" si="183"/>
        <v>0</v>
      </c>
    </row>
    <row r="324" spans="1:19" s="39" customFormat="1" ht="12.75" hidden="1">
      <c r="A324" s="69">
        <v>8</v>
      </c>
      <c r="B324" s="70"/>
      <c r="C324" s="71" t="s">
        <v>52</v>
      </c>
      <c r="D324" s="72" t="str">
        <f t="shared" si="177"/>
        <v>услуга 18</v>
      </c>
      <c r="E324" s="71"/>
      <c r="F324" s="71">
        <f t="shared" si="175"/>
        <v>0</v>
      </c>
      <c r="G324" s="71">
        <v>7570</v>
      </c>
      <c r="H324" s="73">
        <f t="shared" si="184"/>
        <v>0</v>
      </c>
      <c r="I324" s="73"/>
      <c r="J324" s="71"/>
      <c r="K324" s="74">
        <f t="shared" si="178"/>
        <v>0</v>
      </c>
      <c r="L324" s="71">
        <f t="shared" si="176"/>
        <v>1800</v>
      </c>
      <c r="M324" s="71">
        <f t="shared" si="179"/>
        <v>0</v>
      </c>
      <c r="N324" s="71"/>
      <c r="O324" s="71"/>
      <c r="P324" s="75">
        <f t="shared" si="180"/>
        <v>0</v>
      </c>
      <c r="Q324" s="74">
        <f t="shared" si="181"/>
        <v>0</v>
      </c>
      <c r="R324" s="74">
        <f t="shared" si="182"/>
        <v>0</v>
      </c>
      <c r="S324" s="76">
        <f t="shared" si="183"/>
        <v>0</v>
      </c>
    </row>
    <row r="325" spans="1:19" s="39" customFormat="1" ht="12.75" hidden="1">
      <c r="A325" s="69">
        <v>9</v>
      </c>
      <c r="B325" s="70"/>
      <c r="C325" s="71" t="s">
        <v>52</v>
      </c>
      <c r="D325" s="72" t="str">
        <f t="shared" si="177"/>
        <v>услуга 18</v>
      </c>
      <c r="E325" s="71"/>
      <c r="F325" s="71">
        <f t="shared" si="175"/>
        <v>0</v>
      </c>
      <c r="G325" s="71">
        <v>7570</v>
      </c>
      <c r="H325" s="73">
        <f t="shared" si="184"/>
        <v>0</v>
      </c>
      <c r="I325" s="73"/>
      <c r="J325" s="71"/>
      <c r="K325" s="74">
        <f t="shared" si="178"/>
        <v>0</v>
      </c>
      <c r="L325" s="71">
        <f t="shared" si="176"/>
        <v>1800</v>
      </c>
      <c r="M325" s="71">
        <f t="shared" si="179"/>
        <v>0</v>
      </c>
      <c r="N325" s="71"/>
      <c r="O325" s="71"/>
      <c r="P325" s="75">
        <f t="shared" si="180"/>
        <v>0</v>
      </c>
      <c r="Q325" s="74">
        <f t="shared" si="181"/>
        <v>0</v>
      </c>
      <c r="R325" s="74">
        <f t="shared" si="182"/>
        <v>0</v>
      </c>
      <c r="S325" s="76">
        <f t="shared" si="183"/>
        <v>0</v>
      </c>
    </row>
    <row r="326" spans="1:19" s="39" customFormat="1" ht="12.75" hidden="1">
      <c r="A326" s="69">
        <v>10</v>
      </c>
      <c r="B326" s="70"/>
      <c r="C326" s="71" t="s">
        <v>52</v>
      </c>
      <c r="D326" s="72" t="str">
        <f t="shared" si="177"/>
        <v>услуга 18</v>
      </c>
      <c r="E326" s="71"/>
      <c r="F326" s="71">
        <f t="shared" si="175"/>
        <v>0</v>
      </c>
      <c r="G326" s="71">
        <v>7570</v>
      </c>
      <c r="H326" s="73">
        <f t="shared" si="184"/>
        <v>0</v>
      </c>
      <c r="I326" s="73"/>
      <c r="J326" s="71"/>
      <c r="K326" s="74">
        <f t="shared" si="178"/>
        <v>0</v>
      </c>
      <c r="L326" s="71">
        <f t="shared" si="176"/>
        <v>1800</v>
      </c>
      <c r="M326" s="71">
        <f t="shared" si="179"/>
        <v>0</v>
      </c>
      <c r="N326" s="71"/>
      <c r="O326" s="71"/>
      <c r="P326" s="75">
        <f t="shared" si="180"/>
        <v>0</v>
      </c>
      <c r="Q326" s="74">
        <f t="shared" si="181"/>
        <v>0</v>
      </c>
      <c r="R326" s="74">
        <f t="shared" si="182"/>
        <v>0</v>
      </c>
      <c r="S326" s="76">
        <f t="shared" si="183"/>
        <v>0</v>
      </c>
    </row>
    <row r="327" spans="1:19" s="39" customFormat="1" ht="13.5" hidden="1" thickBot="1">
      <c r="A327" s="113"/>
      <c r="B327" s="114"/>
      <c r="C327" s="114"/>
      <c r="D327" s="114" t="s">
        <v>53</v>
      </c>
      <c r="E327" s="114"/>
      <c r="F327" s="115">
        <f>SUM(F317:F326)</f>
        <v>0</v>
      </c>
      <c r="G327" s="114"/>
      <c r="H327" s="114"/>
      <c r="I327" s="114"/>
      <c r="J327" s="114"/>
      <c r="K327" s="116"/>
      <c r="L327" s="114"/>
      <c r="M327" s="117">
        <f>SUM(M317:M326)</f>
        <v>0</v>
      </c>
      <c r="N327" s="117">
        <f>SUM(N317:N326)</f>
        <v>0</v>
      </c>
      <c r="O327" s="117">
        <f>SUM(O317:O326)</f>
        <v>0</v>
      </c>
      <c r="P327" s="114"/>
      <c r="Q327" s="115">
        <f>SUM(Q317:Q326)</f>
        <v>0</v>
      </c>
      <c r="R327" s="115">
        <f>SUM(R317:R326)</f>
        <v>0</v>
      </c>
      <c r="S327" s="143">
        <f>SUM(S317:S326)</f>
        <v>0</v>
      </c>
    </row>
    <row r="328" spans="1:19" s="39" customFormat="1" ht="12.75" hidden="1">
      <c r="A328" s="118"/>
      <c r="B328" s="92"/>
      <c r="C328" s="92"/>
      <c r="D328" s="92"/>
      <c r="E328" s="92"/>
      <c r="F328" s="93"/>
      <c r="G328" s="92"/>
      <c r="H328" s="92"/>
      <c r="I328" s="92"/>
      <c r="J328" s="92"/>
      <c r="K328" s="94"/>
      <c r="L328" s="92"/>
      <c r="M328" s="95"/>
      <c r="N328" s="95">
        <f>доходы!C29</f>
        <v>0</v>
      </c>
      <c r="O328" s="96" t="s">
        <v>116</v>
      </c>
      <c r="P328" s="119"/>
      <c r="Q328" s="120"/>
      <c r="R328" s="121"/>
      <c r="S328" s="136"/>
    </row>
    <row r="329" spans="1:19" s="39" customFormat="1" ht="12.75" hidden="1">
      <c r="A329" s="137" t="s">
        <v>133</v>
      </c>
      <c r="B329" s="138" t="str">
        <f>доходы!B30</f>
        <v>услуга 19</v>
      </c>
      <c r="C329" s="92"/>
      <c r="D329" s="92"/>
      <c r="E329" s="92"/>
      <c r="F329" s="139"/>
      <c r="G329" s="139"/>
      <c r="H329" s="139"/>
      <c r="I329" s="139"/>
      <c r="J329" s="139"/>
      <c r="K329" s="140"/>
      <c r="L329" s="139"/>
      <c r="M329" s="139"/>
      <c r="N329" s="139"/>
      <c r="O329" s="139"/>
      <c r="P329" s="139"/>
      <c r="Q329" s="139"/>
      <c r="R329" s="139"/>
      <c r="S329" s="141"/>
    </row>
    <row r="330" spans="1:19" s="39" customFormat="1" ht="13.5" hidden="1" thickBot="1">
      <c r="A330" s="142"/>
      <c r="B330" s="139"/>
      <c r="C330" s="139"/>
      <c r="D330" s="139"/>
      <c r="E330" s="139"/>
      <c r="F330" s="139"/>
      <c r="G330" s="139"/>
      <c r="H330" s="139"/>
      <c r="I330" s="139"/>
      <c r="J330" s="139"/>
      <c r="K330" s="140"/>
      <c r="L330" s="139"/>
      <c r="M330" s="139"/>
      <c r="N330" s="139"/>
      <c r="O330" s="139"/>
      <c r="P330" s="139"/>
      <c r="Q330" s="139"/>
      <c r="R330" s="139"/>
      <c r="S330" s="141"/>
    </row>
    <row r="331" spans="1:19" s="39" customFormat="1" ht="51.75" hidden="1" thickBot="1">
      <c r="A331" s="99" t="s">
        <v>1</v>
      </c>
      <c r="B331" s="99" t="s">
        <v>2</v>
      </c>
      <c r="C331" s="99" t="s">
        <v>8</v>
      </c>
      <c r="D331" s="99" t="s">
        <v>3</v>
      </c>
      <c r="E331" s="99" t="s">
        <v>4</v>
      </c>
      <c r="F331" s="99" t="s">
        <v>5</v>
      </c>
      <c r="G331" s="99" t="s">
        <v>64</v>
      </c>
      <c r="H331" s="99" t="s">
        <v>117</v>
      </c>
      <c r="I331" s="99" t="s">
        <v>99</v>
      </c>
      <c r="J331" s="99" t="s">
        <v>65</v>
      </c>
      <c r="K331" s="100" t="s">
        <v>66</v>
      </c>
      <c r="L331" s="99" t="s">
        <v>67</v>
      </c>
      <c r="M331" s="99" t="s">
        <v>6</v>
      </c>
      <c r="N331" s="99" t="s">
        <v>54</v>
      </c>
      <c r="O331" s="99" t="s">
        <v>7</v>
      </c>
      <c r="P331" s="99" t="s">
        <v>48</v>
      </c>
      <c r="Q331" s="99" t="s">
        <v>49</v>
      </c>
      <c r="R331" s="99" t="s">
        <v>50</v>
      </c>
      <c r="S331" s="99" t="s">
        <v>51</v>
      </c>
    </row>
    <row r="332" spans="1:19" s="39" customFormat="1" ht="12.75" hidden="1">
      <c r="A332" s="101">
        <v>1</v>
      </c>
      <c r="B332" s="102">
        <v>2</v>
      </c>
      <c r="C332" s="102">
        <v>3</v>
      </c>
      <c r="D332" s="102">
        <v>4</v>
      </c>
      <c r="E332" s="102">
        <v>5</v>
      </c>
      <c r="F332" s="102">
        <v>6</v>
      </c>
      <c r="G332" s="102">
        <v>7</v>
      </c>
      <c r="H332" s="102">
        <v>8</v>
      </c>
      <c r="I332" s="102">
        <v>9</v>
      </c>
      <c r="J332" s="102">
        <v>10</v>
      </c>
      <c r="K332" s="104">
        <v>11</v>
      </c>
      <c r="L332" s="102">
        <v>12</v>
      </c>
      <c r="M332" s="102">
        <v>13</v>
      </c>
      <c r="N332" s="102">
        <v>14</v>
      </c>
      <c r="O332" s="102">
        <v>15</v>
      </c>
      <c r="P332" s="102">
        <v>16</v>
      </c>
      <c r="Q332" s="102">
        <v>17</v>
      </c>
      <c r="R332" s="102">
        <v>18</v>
      </c>
      <c r="S332" s="105">
        <v>19</v>
      </c>
    </row>
    <row r="333" spans="1:19" s="39" customFormat="1" ht="12.75" hidden="1">
      <c r="A333" s="69">
        <v>1</v>
      </c>
      <c r="B333" s="70" t="s">
        <v>118</v>
      </c>
      <c r="C333" s="71" t="s">
        <v>52</v>
      </c>
      <c r="D333" s="72" t="str">
        <f>B$329</f>
        <v>услуга 19</v>
      </c>
      <c r="E333" s="71"/>
      <c r="F333" s="71">
        <f aca="true" t="shared" si="185" ref="F333:F342">ROUND(O333/18/4,2)</f>
        <v>0</v>
      </c>
      <c r="G333" s="71">
        <v>7570</v>
      </c>
      <c r="H333" s="73">
        <v>0.15</v>
      </c>
      <c r="I333" s="73">
        <v>0</v>
      </c>
      <c r="J333" s="71"/>
      <c r="K333" s="74">
        <f>(G333+G333*(H333+I333))*J333</f>
        <v>0</v>
      </c>
      <c r="L333" s="71">
        <f aca="true" t="shared" si="186" ref="L333:L342">18*25*4</f>
        <v>1800</v>
      </c>
      <c r="M333" s="71">
        <f>N333*O333</f>
        <v>0</v>
      </c>
      <c r="N333" s="71"/>
      <c r="O333" s="71"/>
      <c r="P333" s="75">
        <f>ROUND(K333/L333,2)</f>
        <v>0</v>
      </c>
      <c r="Q333" s="74">
        <f>N333*O333*P333</f>
        <v>0</v>
      </c>
      <c r="R333" s="74">
        <f>Q333*0.15</f>
        <v>0</v>
      </c>
      <c r="S333" s="76">
        <f>Q333+R333</f>
        <v>0</v>
      </c>
    </row>
    <row r="334" spans="1:19" s="39" customFormat="1" ht="12.75" hidden="1">
      <c r="A334" s="69">
        <v>2</v>
      </c>
      <c r="B334" s="70"/>
      <c r="C334" s="71" t="s">
        <v>52</v>
      </c>
      <c r="D334" s="72" t="str">
        <f aca="true" t="shared" si="187" ref="D334:D342">B$329</f>
        <v>услуга 19</v>
      </c>
      <c r="E334" s="71"/>
      <c r="F334" s="71">
        <f t="shared" si="185"/>
        <v>0</v>
      </c>
      <c r="G334" s="71">
        <v>7570</v>
      </c>
      <c r="H334" s="73">
        <f>H$24</f>
        <v>0</v>
      </c>
      <c r="I334" s="73">
        <v>0</v>
      </c>
      <c r="J334" s="71"/>
      <c r="K334" s="74">
        <f aca="true" t="shared" si="188" ref="K334:K342">(G334+G334*(H334+I334))*J334</f>
        <v>0</v>
      </c>
      <c r="L334" s="71">
        <f t="shared" si="186"/>
        <v>1800</v>
      </c>
      <c r="M334" s="71">
        <f aca="true" t="shared" si="189" ref="M334:M342">N334*O334</f>
        <v>0</v>
      </c>
      <c r="N334" s="71"/>
      <c r="O334" s="71"/>
      <c r="P334" s="75">
        <f aca="true" t="shared" si="190" ref="P334:P342">ROUND(K334/L334,2)</f>
        <v>0</v>
      </c>
      <c r="Q334" s="74">
        <f aca="true" t="shared" si="191" ref="Q334:Q342">N334*O334*P334</f>
        <v>0</v>
      </c>
      <c r="R334" s="74">
        <f aca="true" t="shared" si="192" ref="R334:R342">Q334*0.15</f>
        <v>0</v>
      </c>
      <c r="S334" s="76">
        <f aca="true" t="shared" si="193" ref="S334:S342">Q334+R334</f>
        <v>0</v>
      </c>
    </row>
    <row r="335" spans="1:19" s="39" customFormat="1" ht="12.75" hidden="1">
      <c r="A335" s="69">
        <v>3</v>
      </c>
      <c r="B335" s="70"/>
      <c r="C335" s="71" t="s">
        <v>52</v>
      </c>
      <c r="D335" s="72" t="str">
        <f t="shared" si="187"/>
        <v>услуга 19</v>
      </c>
      <c r="E335" s="71"/>
      <c r="F335" s="71">
        <f t="shared" si="185"/>
        <v>0</v>
      </c>
      <c r="G335" s="71">
        <v>7570</v>
      </c>
      <c r="H335" s="73">
        <f aca="true" t="shared" si="194" ref="H335:H342">H$24</f>
        <v>0</v>
      </c>
      <c r="I335" s="73"/>
      <c r="J335" s="71"/>
      <c r="K335" s="74">
        <f t="shared" si="188"/>
        <v>0</v>
      </c>
      <c r="L335" s="71">
        <f t="shared" si="186"/>
        <v>1800</v>
      </c>
      <c r="M335" s="71">
        <f t="shared" si="189"/>
        <v>0</v>
      </c>
      <c r="N335" s="71"/>
      <c r="O335" s="71"/>
      <c r="P335" s="75">
        <f t="shared" si="190"/>
        <v>0</v>
      </c>
      <c r="Q335" s="74">
        <f t="shared" si="191"/>
        <v>0</v>
      </c>
      <c r="R335" s="74">
        <f t="shared" si="192"/>
        <v>0</v>
      </c>
      <c r="S335" s="76">
        <f t="shared" si="193"/>
        <v>0</v>
      </c>
    </row>
    <row r="336" spans="1:19" s="39" customFormat="1" ht="12.75" hidden="1">
      <c r="A336" s="69">
        <v>4</v>
      </c>
      <c r="B336" s="70"/>
      <c r="C336" s="71" t="s">
        <v>52</v>
      </c>
      <c r="D336" s="72" t="str">
        <f t="shared" si="187"/>
        <v>услуга 19</v>
      </c>
      <c r="E336" s="71"/>
      <c r="F336" s="71">
        <f t="shared" si="185"/>
        <v>0</v>
      </c>
      <c r="G336" s="71">
        <v>7570</v>
      </c>
      <c r="H336" s="73">
        <f t="shared" si="194"/>
        <v>0</v>
      </c>
      <c r="I336" s="73"/>
      <c r="J336" s="71"/>
      <c r="K336" s="74">
        <f t="shared" si="188"/>
        <v>0</v>
      </c>
      <c r="L336" s="71">
        <f t="shared" si="186"/>
        <v>1800</v>
      </c>
      <c r="M336" s="71">
        <f t="shared" si="189"/>
        <v>0</v>
      </c>
      <c r="N336" s="71"/>
      <c r="O336" s="71"/>
      <c r="P336" s="75">
        <f t="shared" si="190"/>
        <v>0</v>
      </c>
      <c r="Q336" s="74">
        <f t="shared" si="191"/>
        <v>0</v>
      </c>
      <c r="R336" s="74">
        <f t="shared" si="192"/>
        <v>0</v>
      </c>
      <c r="S336" s="76">
        <f t="shared" si="193"/>
        <v>0</v>
      </c>
    </row>
    <row r="337" spans="1:19" s="39" customFormat="1" ht="12.75" hidden="1">
      <c r="A337" s="69">
        <v>5</v>
      </c>
      <c r="B337" s="70"/>
      <c r="C337" s="71" t="s">
        <v>52</v>
      </c>
      <c r="D337" s="72" t="str">
        <f t="shared" si="187"/>
        <v>услуга 19</v>
      </c>
      <c r="E337" s="71"/>
      <c r="F337" s="71">
        <f t="shared" si="185"/>
        <v>0</v>
      </c>
      <c r="G337" s="71">
        <v>7570</v>
      </c>
      <c r="H337" s="73">
        <f t="shared" si="194"/>
        <v>0</v>
      </c>
      <c r="I337" s="73"/>
      <c r="J337" s="71"/>
      <c r="K337" s="74">
        <f t="shared" si="188"/>
        <v>0</v>
      </c>
      <c r="L337" s="71">
        <f t="shared" si="186"/>
        <v>1800</v>
      </c>
      <c r="M337" s="71">
        <f t="shared" si="189"/>
        <v>0</v>
      </c>
      <c r="N337" s="71"/>
      <c r="O337" s="71"/>
      <c r="P337" s="75">
        <f t="shared" si="190"/>
        <v>0</v>
      </c>
      <c r="Q337" s="74">
        <f t="shared" si="191"/>
        <v>0</v>
      </c>
      <c r="R337" s="74">
        <f t="shared" si="192"/>
        <v>0</v>
      </c>
      <c r="S337" s="76">
        <f t="shared" si="193"/>
        <v>0</v>
      </c>
    </row>
    <row r="338" spans="1:19" s="39" customFormat="1" ht="12.75" hidden="1">
      <c r="A338" s="69">
        <v>6</v>
      </c>
      <c r="B338" s="70"/>
      <c r="C338" s="71" t="s">
        <v>52</v>
      </c>
      <c r="D338" s="72" t="str">
        <f t="shared" si="187"/>
        <v>услуга 19</v>
      </c>
      <c r="E338" s="71"/>
      <c r="F338" s="71">
        <f t="shared" si="185"/>
        <v>0</v>
      </c>
      <c r="G338" s="71">
        <v>7570</v>
      </c>
      <c r="H338" s="73">
        <f t="shared" si="194"/>
        <v>0</v>
      </c>
      <c r="I338" s="73"/>
      <c r="J338" s="71"/>
      <c r="K338" s="74">
        <f t="shared" si="188"/>
        <v>0</v>
      </c>
      <c r="L338" s="71">
        <f t="shared" si="186"/>
        <v>1800</v>
      </c>
      <c r="M338" s="71">
        <f t="shared" si="189"/>
        <v>0</v>
      </c>
      <c r="N338" s="71"/>
      <c r="O338" s="71"/>
      <c r="P338" s="75">
        <f t="shared" si="190"/>
        <v>0</v>
      </c>
      <c r="Q338" s="74">
        <f t="shared" si="191"/>
        <v>0</v>
      </c>
      <c r="R338" s="74">
        <f t="shared" si="192"/>
        <v>0</v>
      </c>
      <c r="S338" s="76">
        <f t="shared" si="193"/>
        <v>0</v>
      </c>
    </row>
    <row r="339" spans="1:19" s="39" customFormat="1" ht="12.75" hidden="1">
      <c r="A339" s="69">
        <v>7</v>
      </c>
      <c r="B339" s="70"/>
      <c r="C339" s="71" t="s">
        <v>52</v>
      </c>
      <c r="D339" s="72" t="str">
        <f t="shared" si="187"/>
        <v>услуга 19</v>
      </c>
      <c r="E339" s="71"/>
      <c r="F339" s="71">
        <f t="shared" si="185"/>
        <v>0</v>
      </c>
      <c r="G339" s="71">
        <v>7570</v>
      </c>
      <c r="H339" s="73">
        <f t="shared" si="194"/>
        <v>0</v>
      </c>
      <c r="I339" s="73"/>
      <c r="J339" s="71"/>
      <c r="K339" s="74">
        <f t="shared" si="188"/>
        <v>0</v>
      </c>
      <c r="L339" s="71">
        <f t="shared" si="186"/>
        <v>1800</v>
      </c>
      <c r="M339" s="71">
        <f t="shared" si="189"/>
        <v>0</v>
      </c>
      <c r="N339" s="71"/>
      <c r="O339" s="71"/>
      <c r="P339" s="75">
        <f t="shared" si="190"/>
        <v>0</v>
      </c>
      <c r="Q339" s="74">
        <f t="shared" si="191"/>
        <v>0</v>
      </c>
      <c r="R339" s="74">
        <f t="shared" si="192"/>
        <v>0</v>
      </c>
      <c r="S339" s="76">
        <f t="shared" si="193"/>
        <v>0</v>
      </c>
    </row>
    <row r="340" spans="1:19" s="39" customFormat="1" ht="12.75" hidden="1">
      <c r="A340" s="69">
        <v>8</v>
      </c>
      <c r="B340" s="70"/>
      <c r="C340" s="71" t="s">
        <v>52</v>
      </c>
      <c r="D340" s="72" t="str">
        <f t="shared" si="187"/>
        <v>услуга 19</v>
      </c>
      <c r="E340" s="71"/>
      <c r="F340" s="71">
        <f t="shared" si="185"/>
        <v>0</v>
      </c>
      <c r="G340" s="71">
        <v>7570</v>
      </c>
      <c r="H340" s="73">
        <f t="shared" si="194"/>
        <v>0</v>
      </c>
      <c r="I340" s="73"/>
      <c r="J340" s="71"/>
      <c r="K340" s="74">
        <f t="shared" si="188"/>
        <v>0</v>
      </c>
      <c r="L340" s="71">
        <f t="shared" si="186"/>
        <v>1800</v>
      </c>
      <c r="M340" s="71">
        <f t="shared" si="189"/>
        <v>0</v>
      </c>
      <c r="N340" s="71"/>
      <c r="O340" s="71"/>
      <c r="P340" s="75">
        <f t="shared" si="190"/>
        <v>0</v>
      </c>
      <c r="Q340" s="74">
        <f t="shared" si="191"/>
        <v>0</v>
      </c>
      <c r="R340" s="74">
        <f t="shared" si="192"/>
        <v>0</v>
      </c>
      <c r="S340" s="76">
        <f t="shared" si="193"/>
        <v>0</v>
      </c>
    </row>
    <row r="341" spans="1:19" s="39" customFormat="1" ht="12.75" hidden="1">
      <c r="A341" s="69">
        <v>9</v>
      </c>
      <c r="B341" s="70"/>
      <c r="C341" s="71" t="s">
        <v>52</v>
      </c>
      <c r="D341" s="72" t="str">
        <f t="shared" si="187"/>
        <v>услуга 19</v>
      </c>
      <c r="E341" s="71"/>
      <c r="F341" s="71">
        <f t="shared" si="185"/>
        <v>0</v>
      </c>
      <c r="G341" s="71">
        <v>7570</v>
      </c>
      <c r="H341" s="73">
        <f t="shared" si="194"/>
        <v>0</v>
      </c>
      <c r="I341" s="73"/>
      <c r="J341" s="71"/>
      <c r="K341" s="74">
        <f t="shared" si="188"/>
        <v>0</v>
      </c>
      <c r="L341" s="71">
        <f t="shared" si="186"/>
        <v>1800</v>
      </c>
      <c r="M341" s="71">
        <f t="shared" si="189"/>
        <v>0</v>
      </c>
      <c r="N341" s="71"/>
      <c r="O341" s="71"/>
      <c r="P341" s="75">
        <f t="shared" si="190"/>
        <v>0</v>
      </c>
      <c r="Q341" s="74">
        <f t="shared" si="191"/>
        <v>0</v>
      </c>
      <c r="R341" s="74">
        <f t="shared" si="192"/>
        <v>0</v>
      </c>
      <c r="S341" s="76">
        <f t="shared" si="193"/>
        <v>0</v>
      </c>
    </row>
    <row r="342" spans="1:19" s="39" customFormat="1" ht="12.75" hidden="1">
      <c r="A342" s="69">
        <v>10</v>
      </c>
      <c r="B342" s="70"/>
      <c r="C342" s="71" t="s">
        <v>52</v>
      </c>
      <c r="D342" s="72" t="str">
        <f t="shared" si="187"/>
        <v>услуга 19</v>
      </c>
      <c r="E342" s="71"/>
      <c r="F342" s="71">
        <f t="shared" si="185"/>
        <v>0</v>
      </c>
      <c r="G342" s="71">
        <v>7570</v>
      </c>
      <c r="H342" s="73">
        <f t="shared" si="194"/>
        <v>0</v>
      </c>
      <c r="I342" s="73"/>
      <c r="J342" s="71"/>
      <c r="K342" s="74">
        <f t="shared" si="188"/>
        <v>0</v>
      </c>
      <c r="L342" s="71">
        <f t="shared" si="186"/>
        <v>1800</v>
      </c>
      <c r="M342" s="71">
        <f t="shared" si="189"/>
        <v>0</v>
      </c>
      <c r="N342" s="71"/>
      <c r="O342" s="71"/>
      <c r="P342" s="75">
        <f t="shared" si="190"/>
        <v>0</v>
      </c>
      <c r="Q342" s="74">
        <f t="shared" si="191"/>
        <v>0</v>
      </c>
      <c r="R342" s="74">
        <f t="shared" si="192"/>
        <v>0</v>
      </c>
      <c r="S342" s="76">
        <f t="shared" si="193"/>
        <v>0</v>
      </c>
    </row>
    <row r="343" spans="1:19" s="39" customFormat="1" ht="13.5" hidden="1" thickBot="1">
      <c r="A343" s="113"/>
      <c r="B343" s="114"/>
      <c r="C343" s="114"/>
      <c r="D343" s="114" t="s">
        <v>53</v>
      </c>
      <c r="E343" s="114"/>
      <c r="F343" s="115">
        <f>SUM(F333:F342)</f>
        <v>0</v>
      </c>
      <c r="G343" s="114"/>
      <c r="H343" s="114"/>
      <c r="I343" s="114"/>
      <c r="J343" s="114"/>
      <c r="K343" s="116"/>
      <c r="L343" s="114"/>
      <c r="M343" s="117">
        <f>SUM(M333:M342)</f>
        <v>0</v>
      </c>
      <c r="N343" s="117">
        <f>SUM(N333:N342)</f>
        <v>0</v>
      </c>
      <c r="O343" s="117">
        <f>SUM(O333:O342)</f>
        <v>0</v>
      </c>
      <c r="P343" s="114"/>
      <c r="Q343" s="115">
        <f>SUM(Q333:Q342)</f>
        <v>0</v>
      </c>
      <c r="R343" s="115">
        <f>SUM(R333:R342)</f>
        <v>0</v>
      </c>
      <c r="S343" s="143">
        <f>SUM(S333:S342)</f>
        <v>0</v>
      </c>
    </row>
    <row r="344" spans="1:19" s="39" customFormat="1" ht="12.75" hidden="1">
      <c r="A344" s="118"/>
      <c r="B344" s="92"/>
      <c r="C344" s="92"/>
      <c r="D344" s="92"/>
      <c r="E344" s="92"/>
      <c r="F344" s="93"/>
      <c r="G344" s="92"/>
      <c r="H344" s="92"/>
      <c r="I344" s="92"/>
      <c r="J344" s="92"/>
      <c r="K344" s="94"/>
      <c r="L344" s="92"/>
      <c r="M344" s="95"/>
      <c r="N344" s="95">
        <f>доходы!C30</f>
        <v>0</v>
      </c>
      <c r="O344" s="96" t="s">
        <v>116</v>
      </c>
      <c r="P344" s="119"/>
      <c r="Q344" s="120"/>
      <c r="R344" s="121"/>
      <c r="S344" s="136"/>
    </row>
    <row r="345" spans="1:19" s="39" customFormat="1" ht="12.75" hidden="1">
      <c r="A345" s="137" t="s">
        <v>134</v>
      </c>
      <c r="B345" s="138" t="str">
        <f>доходы!B31</f>
        <v>услуга 20</v>
      </c>
      <c r="C345" s="92"/>
      <c r="D345" s="92"/>
      <c r="E345" s="92"/>
      <c r="F345" s="139"/>
      <c r="G345" s="139"/>
      <c r="H345" s="139"/>
      <c r="I345" s="139"/>
      <c r="J345" s="139"/>
      <c r="K345" s="140"/>
      <c r="L345" s="139"/>
      <c r="M345" s="139"/>
      <c r="N345" s="139"/>
      <c r="O345" s="139"/>
      <c r="P345" s="139"/>
      <c r="Q345" s="139"/>
      <c r="R345" s="139"/>
      <c r="S345" s="141"/>
    </row>
    <row r="346" spans="1:19" s="39" customFormat="1" ht="13.5" hidden="1" thickBot="1">
      <c r="A346" s="142"/>
      <c r="B346" s="139"/>
      <c r="C346" s="139"/>
      <c r="D346" s="139"/>
      <c r="E346" s="139"/>
      <c r="F346" s="139"/>
      <c r="G346" s="139"/>
      <c r="H346" s="139"/>
      <c r="I346" s="139"/>
      <c r="J346" s="139"/>
      <c r="K346" s="140"/>
      <c r="L346" s="139"/>
      <c r="M346" s="139"/>
      <c r="N346" s="139"/>
      <c r="O346" s="139"/>
      <c r="P346" s="139"/>
      <c r="Q346" s="139"/>
      <c r="R346" s="139"/>
      <c r="S346" s="141"/>
    </row>
    <row r="347" spans="1:19" s="39" customFormat="1" ht="51.75" hidden="1" thickBot="1">
      <c r="A347" s="99" t="s">
        <v>1</v>
      </c>
      <c r="B347" s="99" t="s">
        <v>2</v>
      </c>
      <c r="C347" s="99" t="s">
        <v>8</v>
      </c>
      <c r="D347" s="99" t="s">
        <v>3</v>
      </c>
      <c r="E347" s="99" t="s">
        <v>4</v>
      </c>
      <c r="F347" s="99" t="s">
        <v>5</v>
      </c>
      <c r="G347" s="99" t="s">
        <v>64</v>
      </c>
      <c r="H347" s="99" t="s">
        <v>117</v>
      </c>
      <c r="I347" s="99" t="s">
        <v>99</v>
      </c>
      <c r="J347" s="99" t="s">
        <v>65</v>
      </c>
      <c r="K347" s="100" t="s">
        <v>66</v>
      </c>
      <c r="L347" s="99" t="s">
        <v>67</v>
      </c>
      <c r="M347" s="99" t="s">
        <v>6</v>
      </c>
      <c r="N347" s="99" t="s">
        <v>54</v>
      </c>
      <c r="O347" s="99" t="s">
        <v>7</v>
      </c>
      <c r="P347" s="99" t="s">
        <v>48</v>
      </c>
      <c r="Q347" s="99" t="s">
        <v>49</v>
      </c>
      <c r="R347" s="99" t="s">
        <v>50</v>
      </c>
      <c r="S347" s="99" t="s">
        <v>51</v>
      </c>
    </row>
    <row r="348" spans="1:19" s="39" customFormat="1" ht="12.75" hidden="1">
      <c r="A348" s="101">
        <v>1</v>
      </c>
      <c r="B348" s="102">
        <v>2</v>
      </c>
      <c r="C348" s="102">
        <v>3</v>
      </c>
      <c r="D348" s="102">
        <v>4</v>
      </c>
      <c r="E348" s="102">
        <v>5</v>
      </c>
      <c r="F348" s="102">
        <v>6</v>
      </c>
      <c r="G348" s="102">
        <v>7</v>
      </c>
      <c r="H348" s="102">
        <v>8</v>
      </c>
      <c r="I348" s="102">
        <v>9</v>
      </c>
      <c r="J348" s="102">
        <v>10</v>
      </c>
      <c r="K348" s="104">
        <v>11</v>
      </c>
      <c r="L348" s="102">
        <v>12</v>
      </c>
      <c r="M348" s="102">
        <v>13</v>
      </c>
      <c r="N348" s="102">
        <v>14</v>
      </c>
      <c r="O348" s="102">
        <v>15</v>
      </c>
      <c r="P348" s="102">
        <v>16</v>
      </c>
      <c r="Q348" s="102">
        <v>17</v>
      </c>
      <c r="R348" s="102">
        <v>18</v>
      </c>
      <c r="S348" s="105">
        <v>19</v>
      </c>
    </row>
    <row r="349" spans="1:19" s="39" customFormat="1" ht="12.75" hidden="1">
      <c r="A349" s="69">
        <v>1</v>
      </c>
      <c r="B349" s="70" t="s">
        <v>118</v>
      </c>
      <c r="C349" s="71" t="s">
        <v>52</v>
      </c>
      <c r="D349" s="72" t="str">
        <f>B$345</f>
        <v>услуга 20</v>
      </c>
      <c r="E349" s="71"/>
      <c r="F349" s="71">
        <f aca="true" t="shared" si="195" ref="F349:F358">ROUND(O349/18/4,2)</f>
        <v>0</v>
      </c>
      <c r="G349" s="71">
        <v>7570</v>
      </c>
      <c r="H349" s="73">
        <v>0.15</v>
      </c>
      <c r="I349" s="73">
        <v>0</v>
      </c>
      <c r="J349" s="71"/>
      <c r="K349" s="74">
        <f>(G349+G349*(H349+I349))*J349</f>
        <v>0</v>
      </c>
      <c r="L349" s="71">
        <f aca="true" t="shared" si="196" ref="L349:L358">18*25*4</f>
        <v>1800</v>
      </c>
      <c r="M349" s="71">
        <f>N349*O349</f>
        <v>0</v>
      </c>
      <c r="N349" s="71"/>
      <c r="O349" s="71"/>
      <c r="P349" s="75">
        <f>ROUND(K349/L349,2)</f>
        <v>0</v>
      </c>
      <c r="Q349" s="74">
        <f>N349*O349*P349</f>
        <v>0</v>
      </c>
      <c r="R349" s="74">
        <f>Q349*0.15</f>
        <v>0</v>
      </c>
      <c r="S349" s="76">
        <f>Q349+R349</f>
        <v>0</v>
      </c>
    </row>
    <row r="350" spans="1:19" s="39" customFormat="1" ht="12.75" hidden="1">
      <c r="A350" s="69">
        <v>2</v>
      </c>
      <c r="B350" s="70"/>
      <c r="C350" s="71" t="s">
        <v>52</v>
      </c>
      <c r="D350" s="72" t="str">
        <f aca="true" t="shared" si="197" ref="D350:D358">B$345</f>
        <v>услуга 20</v>
      </c>
      <c r="E350" s="71"/>
      <c r="F350" s="71">
        <f t="shared" si="195"/>
        <v>0</v>
      </c>
      <c r="G350" s="71">
        <v>7570</v>
      </c>
      <c r="H350" s="73">
        <f>H$24</f>
        <v>0</v>
      </c>
      <c r="I350" s="73">
        <v>0</v>
      </c>
      <c r="J350" s="71"/>
      <c r="K350" s="74">
        <f aca="true" t="shared" si="198" ref="K350:K358">(G350+G350*(H350+I350))*J350</f>
        <v>0</v>
      </c>
      <c r="L350" s="71">
        <f t="shared" si="196"/>
        <v>1800</v>
      </c>
      <c r="M350" s="71">
        <f aca="true" t="shared" si="199" ref="M350:M358">N350*O350</f>
        <v>0</v>
      </c>
      <c r="N350" s="71"/>
      <c r="O350" s="71"/>
      <c r="P350" s="75">
        <f aca="true" t="shared" si="200" ref="P350:P358">ROUND(K350/L350,2)</f>
        <v>0</v>
      </c>
      <c r="Q350" s="74">
        <f aca="true" t="shared" si="201" ref="Q350:Q358">N350*O350*P350</f>
        <v>0</v>
      </c>
      <c r="R350" s="74">
        <f aca="true" t="shared" si="202" ref="R350:R358">Q350*0.15</f>
        <v>0</v>
      </c>
      <c r="S350" s="76">
        <f aca="true" t="shared" si="203" ref="S350:S358">Q350+R350</f>
        <v>0</v>
      </c>
    </row>
    <row r="351" spans="1:19" s="39" customFormat="1" ht="12.75" hidden="1">
      <c r="A351" s="69">
        <v>3</v>
      </c>
      <c r="B351" s="70"/>
      <c r="C351" s="71" t="s">
        <v>52</v>
      </c>
      <c r="D351" s="72" t="str">
        <f t="shared" si="197"/>
        <v>услуга 20</v>
      </c>
      <c r="E351" s="71"/>
      <c r="F351" s="71">
        <f t="shared" si="195"/>
        <v>0</v>
      </c>
      <c r="G351" s="71">
        <v>7570</v>
      </c>
      <c r="H351" s="73">
        <f aca="true" t="shared" si="204" ref="H351:H358">H$24</f>
        <v>0</v>
      </c>
      <c r="I351" s="73"/>
      <c r="J351" s="71"/>
      <c r="K351" s="74">
        <f t="shared" si="198"/>
        <v>0</v>
      </c>
      <c r="L351" s="71">
        <f t="shared" si="196"/>
        <v>1800</v>
      </c>
      <c r="M351" s="71">
        <f t="shared" si="199"/>
        <v>0</v>
      </c>
      <c r="N351" s="71"/>
      <c r="O351" s="71"/>
      <c r="P351" s="75">
        <f t="shared" si="200"/>
        <v>0</v>
      </c>
      <c r="Q351" s="74">
        <f t="shared" si="201"/>
        <v>0</v>
      </c>
      <c r="R351" s="74">
        <f t="shared" si="202"/>
        <v>0</v>
      </c>
      <c r="S351" s="76">
        <f t="shared" si="203"/>
        <v>0</v>
      </c>
    </row>
    <row r="352" spans="1:19" s="39" customFormat="1" ht="12.75" hidden="1">
      <c r="A352" s="69">
        <v>4</v>
      </c>
      <c r="B352" s="70"/>
      <c r="C352" s="71" t="s">
        <v>52</v>
      </c>
      <c r="D352" s="72" t="str">
        <f t="shared" si="197"/>
        <v>услуга 20</v>
      </c>
      <c r="E352" s="71"/>
      <c r="F352" s="71">
        <f t="shared" si="195"/>
        <v>0</v>
      </c>
      <c r="G352" s="71">
        <v>7570</v>
      </c>
      <c r="H352" s="73">
        <f t="shared" si="204"/>
        <v>0</v>
      </c>
      <c r="I352" s="73"/>
      <c r="J352" s="71"/>
      <c r="K352" s="74">
        <f t="shared" si="198"/>
        <v>0</v>
      </c>
      <c r="L352" s="71">
        <f t="shared" si="196"/>
        <v>1800</v>
      </c>
      <c r="M352" s="71">
        <f t="shared" si="199"/>
        <v>0</v>
      </c>
      <c r="N352" s="71"/>
      <c r="O352" s="71"/>
      <c r="P352" s="75">
        <f t="shared" si="200"/>
        <v>0</v>
      </c>
      <c r="Q352" s="74">
        <f t="shared" si="201"/>
        <v>0</v>
      </c>
      <c r="R352" s="74">
        <f t="shared" si="202"/>
        <v>0</v>
      </c>
      <c r="S352" s="76">
        <f t="shared" si="203"/>
        <v>0</v>
      </c>
    </row>
    <row r="353" spans="1:19" s="39" customFormat="1" ht="12.75" hidden="1">
      <c r="A353" s="69">
        <v>5</v>
      </c>
      <c r="B353" s="70"/>
      <c r="C353" s="71" t="s">
        <v>52</v>
      </c>
      <c r="D353" s="72" t="str">
        <f t="shared" si="197"/>
        <v>услуга 20</v>
      </c>
      <c r="E353" s="71"/>
      <c r="F353" s="71">
        <f t="shared" si="195"/>
        <v>0</v>
      </c>
      <c r="G353" s="71">
        <v>7570</v>
      </c>
      <c r="H353" s="73">
        <f t="shared" si="204"/>
        <v>0</v>
      </c>
      <c r="I353" s="73"/>
      <c r="J353" s="71"/>
      <c r="K353" s="74">
        <f t="shared" si="198"/>
        <v>0</v>
      </c>
      <c r="L353" s="71">
        <f t="shared" si="196"/>
        <v>1800</v>
      </c>
      <c r="M353" s="71">
        <f t="shared" si="199"/>
        <v>0</v>
      </c>
      <c r="N353" s="71"/>
      <c r="O353" s="71"/>
      <c r="P353" s="75">
        <f t="shared" si="200"/>
        <v>0</v>
      </c>
      <c r="Q353" s="74">
        <f t="shared" si="201"/>
        <v>0</v>
      </c>
      <c r="R353" s="74">
        <f t="shared" si="202"/>
        <v>0</v>
      </c>
      <c r="S353" s="76">
        <f t="shared" si="203"/>
        <v>0</v>
      </c>
    </row>
    <row r="354" spans="1:19" s="39" customFormat="1" ht="12.75" hidden="1">
      <c r="A354" s="69">
        <v>6</v>
      </c>
      <c r="B354" s="70"/>
      <c r="C354" s="71" t="s">
        <v>52</v>
      </c>
      <c r="D354" s="72" t="str">
        <f t="shared" si="197"/>
        <v>услуга 20</v>
      </c>
      <c r="E354" s="71"/>
      <c r="F354" s="71">
        <f t="shared" si="195"/>
        <v>0</v>
      </c>
      <c r="G354" s="71">
        <v>7570</v>
      </c>
      <c r="H354" s="73">
        <f t="shared" si="204"/>
        <v>0</v>
      </c>
      <c r="I354" s="73"/>
      <c r="J354" s="71"/>
      <c r="K354" s="74">
        <f t="shared" si="198"/>
        <v>0</v>
      </c>
      <c r="L354" s="71">
        <f t="shared" si="196"/>
        <v>1800</v>
      </c>
      <c r="M354" s="71">
        <f t="shared" si="199"/>
        <v>0</v>
      </c>
      <c r="N354" s="71"/>
      <c r="O354" s="71"/>
      <c r="P354" s="75">
        <f t="shared" si="200"/>
        <v>0</v>
      </c>
      <c r="Q354" s="74">
        <f t="shared" si="201"/>
        <v>0</v>
      </c>
      <c r="R354" s="74">
        <f t="shared" si="202"/>
        <v>0</v>
      </c>
      <c r="S354" s="76">
        <f t="shared" si="203"/>
        <v>0</v>
      </c>
    </row>
    <row r="355" spans="1:19" s="39" customFormat="1" ht="12.75" hidden="1">
      <c r="A355" s="69">
        <v>7</v>
      </c>
      <c r="B355" s="70"/>
      <c r="C355" s="71" t="s">
        <v>52</v>
      </c>
      <c r="D355" s="72" t="str">
        <f t="shared" si="197"/>
        <v>услуга 20</v>
      </c>
      <c r="E355" s="71"/>
      <c r="F355" s="71">
        <f t="shared" si="195"/>
        <v>0</v>
      </c>
      <c r="G355" s="71">
        <v>7570</v>
      </c>
      <c r="H355" s="73">
        <f t="shared" si="204"/>
        <v>0</v>
      </c>
      <c r="I355" s="73"/>
      <c r="J355" s="71"/>
      <c r="K355" s="74">
        <f t="shared" si="198"/>
        <v>0</v>
      </c>
      <c r="L355" s="71">
        <f t="shared" si="196"/>
        <v>1800</v>
      </c>
      <c r="M355" s="71">
        <f t="shared" si="199"/>
        <v>0</v>
      </c>
      <c r="N355" s="71"/>
      <c r="O355" s="71"/>
      <c r="P355" s="75">
        <f t="shared" si="200"/>
        <v>0</v>
      </c>
      <c r="Q355" s="74">
        <f t="shared" si="201"/>
        <v>0</v>
      </c>
      <c r="R355" s="74">
        <f t="shared" si="202"/>
        <v>0</v>
      </c>
      <c r="S355" s="76">
        <f t="shared" si="203"/>
        <v>0</v>
      </c>
    </row>
    <row r="356" spans="1:19" s="39" customFormat="1" ht="12.75" hidden="1">
      <c r="A356" s="69">
        <v>8</v>
      </c>
      <c r="B356" s="70"/>
      <c r="C356" s="71" t="s">
        <v>52</v>
      </c>
      <c r="D356" s="72" t="str">
        <f t="shared" si="197"/>
        <v>услуга 20</v>
      </c>
      <c r="E356" s="71"/>
      <c r="F356" s="71">
        <f t="shared" si="195"/>
        <v>0</v>
      </c>
      <c r="G356" s="71">
        <v>7570</v>
      </c>
      <c r="H356" s="73">
        <f t="shared" si="204"/>
        <v>0</v>
      </c>
      <c r="I356" s="73"/>
      <c r="J356" s="71"/>
      <c r="K356" s="74">
        <f t="shared" si="198"/>
        <v>0</v>
      </c>
      <c r="L356" s="71">
        <f t="shared" si="196"/>
        <v>1800</v>
      </c>
      <c r="M356" s="71">
        <f t="shared" si="199"/>
        <v>0</v>
      </c>
      <c r="N356" s="71"/>
      <c r="O356" s="71"/>
      <c r="P356" s="75">
        <f t="shared" si="200"/>
        <v>0</v>
      </c>
      <c r="Q356" s="74">
        <f t="shared" si="201"/>
        <v>0</v>
      </c>
      <c r="R356" s="74">
        <f t="shared" si="202"/>
        <v>0</v>
      </c>
      <c r="S356" s="76">
        <f t="shared" si="203"/>
        <v>0</v>
      </c>
    </row>
    <row r="357" spans="1:19" s="39" customFormat="1" ht="12.75" hidden="1">
      <c r="A357" s="69">
        <v>9</v>
      </c>
      <c r="B357" s="70"/>
      <c r="C357" s="71" t="s">
        <v>52</v>
      </c>
      <c r="D357" s="72" t="str">
        <f t="shared" si="197"/>
        <v>услуга 20</v>
      </c>
      <c r="E357" s="71"/>
      <c r="F357" s="71">
        <f t="shared" si="195"/>
        <v>0</v>
      </c>
      <c r="G357" s="71">
        <v>7570</v>
      </c>
      <c r="H357" s="73">
        <f t="shared" si="204"/>
        <v>0</v>
      </c>
      <c r="I357" s="73"/>
      <c r="J357" s="71"/>
      <c r="K357" s="74">
        <f t="shared" si="198"/>
        <v>0</v>
      </c>
      <c r="L357" s="71">
        <f t="shared" si="196"/>
        <v>1800</v>
      </c>
      <c r="M357" s="71">
        <f t="shared" si="199"/>
        <v>0</v>
      </c>
      <c r="N357" s="71"/>
      <c r="O357" s="71"/>
      <c r="P357" s="75">
        <f t="shared" si="200"/>
        <v>0</v>
      </c>
      <c r="Q357" s="74">
        <f t="shared" si="201"/>
        <v>0</v>
      </c>
      <c r="R357" s="74">
        <f t="shared" si="202"/>
        <v>0</v>
      </c>
      <c r="S357" s="76">
        <f t="shared" si="203"/>
        <v>0</v>
      </c>
    </row>
    <row r="358" spans="1:19" s="39" customFormat="1" ht="12.75" hidden="1">
      <c r="A358" s="69">
        <v>10</v>
      </c>
      <c r="B358" s="70"/>
      <c r="C358" s="71" t="s">
        <v>52</v>
      </c>
      <c r="D358" s="72" t="str">
        <f t="shared" si="197"/>
        <v>услуга 20</v>
      </c>
      <c r="E358" s="71"/>
      <c r="F358" s="71">
        <f t="shared" si="195"/>
        <v>0</v>
      </c>
      <c r="G358" s="71">
        <v>7570</v>
      </c>
      <c r="H358" s="73">
        <f t="shared" si="204"/>
        <v>0</v>
      </c>
      <c r="I358" s="73"/>
      <c r="J358" s="71"/>
      <c r="K358" s="74">
        <f t="shared" si="198"/>
        <v>0</v>
      </c>
      <c r="L358" s="71">
        <f t="shared" si="196"/>
        <v>1800</v>
      </c>
      <c r="M358" s="71">
        <f t="shared" si="199"/>
        <v>0</v>
      </c>
      <c r="N358" s="71"/>
      <c r="O358" s="71"/>
      <c r="P358" s="75">
        <f t="shared" si="200"/>
        <v>0</v>
      </c>
      <c r="Q358" s="74">
        <f t="shared" si="201"/>
        <v>0</v>
      </c>
      <c r="R358" s="74">
        <f t="shared" si="202"/>
        <v>0</v>
      </c>
      <c r="S358" s="76">
        <f t="shared" si="203"/>
        <v>0</v>
      </c>
    </row>
    <row r="359" spans="1:19" s="39" customFormat="1" ht="13.5" hidden="1" thickBot="1">
      <c r="A359" s="113"/>
      <c r="B359" s="114"/>
      <c r="C359" s="114"/>
      <c r="D359" s="114" t="s">
        <v>53</v>
      </c>
      <c r="E359" s="114"/>
      <c r="F359" s="115">
        <f>SUM(F349:F358)</f>
        <v>0</v>
      </c>
      <c r="G359" s="114"/>
      <c r="H359" s="114"/>
      <c r="I359" s="114"/>
      <c r="J359" s="114"/>
      <c r="K359" s="116"/>
      <c r="L359" s="114"/>
      <c r="M359" s="117">
        <f>SUM(M349:M358)</f>
        <v>0</v>
      </c>
      <c r="N359" s="117">
        <f>SUM(N349:N358)</f>
        <v>0</v>
      </c>
      <c r="O359" s="117">
        <f>SUM(O349:O358)</f>
        <v>0</v>
      </c>
      <c r="P359" s="114"/>
      <c r="Q359" s="115">
        <f>SUM(Q349:Q358)</f>
        <v>0</v>
      </c>
      <c r="R359" s="115">
        <f>SUM(R349:R358)</f>
        <v>0</v>
      </c>
      <c r="S359" s="143">
        <f>SUM(S349:S358)</f>
        <v>0</v>
      </c>
    </row>
    <row r="360" spans="1:19" s="39" customFormat="1" ht="12.75" hidden="1">
      <c r="A360" s="118"/>
      <c r="B360" s="92"/>
      <c r="C360" s="92"/>
      <c r="D360" s="92"/>
      <c r="E360" s="92"/>
      <c r="F360" s="93"/>
      <c r="G360" s="92"/>
      <c r="H360" s="92"/>
      <c r="I360" s="92"/>
      <c r="J360" s="92"/>
      <c r="K360" s="94"/>
      <c r="L360" s="92"/>
      <c r="M360" s="95"/>
      <c r="N360" s="95">
        <f>доходы!C31</f>
        <v>0</v>
      </c>
      <c r="O360" s="96" t="s">
        <v>116</v>
      </c>
      <c r="P360" s="119"/>
      <c r="Q360" s="120"/>
      <c r="R360" s="121"/>
      <c r="S360" s="136"/>
    </row>
    <row r="361" spans="1:19" s="39" customFormat="1" ht="12.75" hidden="1">
      <c r="A361" s="137" t="s">
        <v>135</v>
      </c>
      <c r="B361" s="138" t="str">
        <f>доходы!B32</f>
        <v>услуга 21</v>
      </c>
      <c r="C361" s="92"/>
      <c r="D361" s="92"/>
      <c r="E361" s="92"/>
      <c r="F361" s="139"/>
      <c r="G361" s="139"/>
      <c r="H361" s="139"/>
      <c r="I361" s="139"/>
      <c r="J361" s="139"/>
      <c r="K361" s="140"/>
      <c r="L361" s="139"/>
      <c r="M361" s="139"/>
      <c r="N361" s="139"/>
      <c r="O361" s="139"/>
      <c r="P361" s="139"/>
      <c r="Q361" s="139"/>
      <c r="R361" s="139"/>
      <c r="S361" s="141"/>
    </row>
    <row r="362" spans="1:19" s="39" customFormat="1" ht="13.5" hidden="1" thickBot="1">
      <c r="A362" s="142"/>
      <c r="B362" s="139"/>
      <c r="C362" s="139"/>
      <c r="D362" s="139"/>
      <c r="E362" s="139"/>
      <c r="F362" s="139"/>
      <c r="G362" s="139"/>
      <c r="H362" s="139"/>
      <c r="I362" s="139"/>
      <c r="J362" s="139"/>
      <c r="K362" s="140"/>
      <c r="L362" s="139"/>
      <c r="M362" s="139"/>
      <c r="N362" s="139"/>
      <c r="O362" s="139"/>
      <c r="P362" s="139"/>
      <c r="Q362" s="139"/>
      <c r="R362" s="139"/>
      <c r="S362" s="141"/>
    </row>
    <row r="363" spans="1:19" s="39" customFormat="1" ht="51.75" hidden="1" thickBot="1">
      <c r="A363" s="99" t="s">
        <v>1</v>
      </c>
      <c r="B363" s="99" t="s">
        <v>2</v>
      </c>
      <c r="C363" s="99" t="s">
        <v>8</v>
      </c>
      <c r="D363" s="99" t="s">
        <v>3</v>
      </c>
      <c r="E363" s="99" t="s">
        <v>4</v>
      </c>
      <c r="F363" s="99" t="s">
        <v>5</v>
      </c>
      <c r="G363" s="99" t="s">
        <v>64</v>
      </c>
      <c r="H363" s="99" t="s">
        <v>117</v>
      </c>
      <c r="I363" s="99" t="s">
        <v>99</v>
      </c>
      <c r="J363" s="99" t="s">
        <v>65</v>
      </c>
      <c r="K363" s="100" t="s">
        <v>66</v>
      </c>
      <c r="L363" s="99" t="s">
        <v>67</v>
      </c>
      <c r="M363" s="99" t="s">
        <v>6</v>
      </c>
      <c r="N363" s="99" t="s">
        <v>54</v>
      </c>
      <c r="O363" s="99" t="s">
        <v>7</v>
      </c>
      <c r="P363" s="99" t="s">
        <v>48</v>
      </c>
      <c r="Q363" s="99" t="s">
        <v>49</v>
      </c>
      <c r="R363" s="99" t="s">
        <v>50</v>
      </c>
      <c r="S363" s="99" t="s">
        <v>51</v>
      </c>
    </row>
    <row r="364" spans="1:19" s="39" customFormat="1" ht="12.75" hidden="1">
      <c r="A364" s="101">
        <v>1</v>
      </c>
      <c r="B364" s="102">
        <v>2</v>
      </c>
      <c r="C364" s="102">
        <v>3</v>
      </c>
      <c r="D364" s="102">
        <v>4</v>
      </c>
      <c r="E364" s="102">
        <v>5</v>
      </c>
      <c r="F364" s="102">
        <v>6</v>
      </c>
      <c r="G364" s="102">
        <v>7</v>
      </c>
      <c r="H364" s="102">
        <v>8</v>
      </c>
      <c r="I364" s="102">
        <v>9</v>
      </c>
      <c r="J364" s="102">
        <v>10</v>
      </c>
      <c r="K364" s="104">
        <v>11</v>
      </c>
      <c r="L364" s="102">
        <v>12</v>
      </c>
      <c r="M364" s="102">
        <v>13</v>
      </c>
      <c r="N364" s="102">
        <v>14</v>
      </c>
      <c r="O364" s="102">
        <v>15</v>
      </c>
      <c r="P364" s="102">
        <v>16</v>
      </c>
      <c r="Q364" s="102">
        <v>17</v>
      </c>
      <c r="R364" s="102">
        <v>18</v>
      </c>
      <c r="S364" s="105">
        <v>19</v>
      </c>
    </row>
    <row r="365" spans="1:19" s="39" customFormat="1" ht="12.75" hidden="1">
      <c r="A365" s="69">
        <v>1</v>
      </c>
      <c r="B365" s="70" t="s">
        <v>118</v>
      </c>
      <c r="C365" s="71" t="s">
        <v>52</v>
      </c>
      <c r="D365" s="72" t="str">
        <f>B$361</f>
        <v>услуга 21</v>
      </c>
      <c r="E365" s="71"/>
      <c r="F365" s="71">
        <f aca="true" t="shared" si="205" ref="F365:F374">ROUND(O365/18/4,2)</f>
        <v>0</v>
      </c>
      <c r="G365" s="71">
        <v>7570</v>
      </c>
      <c r="H365" s="73">
        <v>0.15</v>
      </c>
      <c r="I365" s="73">
        <v>0</v>
      </c>
      <c r="J365" s="71"/>
      <c r="K365" s="74">
        <f>(G365+G365*(H365+I365))*J365</f>
        <v>0</v>
      </c>
      <c r="L365" s="71">
        <f aca="true" t="shared" si="206" ref="L365:L374">18*25*4</f>
        <v>1800</v>
      </c>
      <c r="M365" s="71">
        <f>N365*O365</f>
        <v>0</v>
      </c>
      <c r="N365" s="71"/>
      <c r="O365" s="71"/>
      <c r="P365" s="75">
        <f>ROUND(K365/L365,2)</f>
        <v>0</v>
      </c>
      <c r="Q365" s="74">
        <f>N365*O365*P365</f>
        <v>0</v>
      </c>
      <c r="R365" s="74">
        <f>Q365*0.15</f>
        <v>0</v>
      </c>
      <c r="S365" s="76">
        <f>Q365+R365</f>
        <v>0</v>
      </c>
    </row>
    <row r="366" spans="1:19" s="39" customFormat="1" ht="12.75" hidden="1">
      <c r="A366" s="69">
        <v>2</v>
      </c>
      <c r="B366" s="70"/>
      <c r="C366" s="71" t="s">
        <v>52</v>
      </c>
      <c r="D366" s="72" t="str">
        <f aca="true" t="shared" si="207" ref="D366:D374">B$361</f>
        <v>услуга 21</v>
      </c>
      <c r="E366" s="71"/>
      <c r="F366" s="71">
        <f t="shared" si="205"/>
        <v>0</v>
      </c>
      <c r="G366" s="71">
        <v>7570</v>
      </c>
      <c r="H366" s="73">
        <f>H$24</f>
        <v>0</v>
      </c>
      <c r="I366" s="73">
        <v>0</v>
      </c>
      <c r="J366" s="71"/>
      <c r="K366" s="74">
        <f aca="true" t="shared" si="208" ref="K366:K374">(G366+G366*(H366+I366))*J366</f>
        <v>0</v>
      </c>
      <c r="L366" s="71">
        <f t="shared" si="206"/>
        <v>1800</v>
      </c>
      <c r="M366" s="71">
        <f aca="true" t="shared" si="209" ref="M366:M374">N366*O366</f>
        <v>0</v>
      </c>
      <c r="N366" s="71"/>
      <c r="O366" s="71"/>
      <c r="P366" s="75">
        <f aca="true" t="shared" si="210" ref="P366:P374">ROUND(K366/L366,2)</f>
        <v>0</v>
      </c>
      <c r="Q366" s="74">
        <f aca="true" t="shared" si="211" ref="Q366:Q374">N366*O366*P366</f>
        <v>0</v>
      </c>
      <c r="R366" s="74">
        <f aca="true" t="shared" si="212" ref="R366:R374">Q366*0.15</f>
        <v>0</v>
      </c>
      <c r="S366" s="76">
        <f aca="true" t="shared" si="213" ref="S366:S374">Q366+R366</f>
        <v>0</v>
      </c>
    </row>
    <row r="367" spans="1:19" s="39" customFormat="1" ht="12.75" hidden="1">
      <c r="A367" s="69">
        <v>3</v>
      </c>
      <c r="B367" s="70"/>
      <c r="C367" s="71" t="s">
        <v>52</v>
      </c>
      <c r="D367" s="72" t="str">
        <f t="shared" si="207"/>
        <v>услуга 21</v>
      </c>
      <c r="E367" s="71"/>
      <c r="F367" s="71">
        <f t="shared" si="205"/>
        <v>0</v>
      </c>
      <c r="G367" s="71">
        <v>7570</v>
      </c>
      <c r="H367" s="73">
        <f aca="true" t="shared" si="214" ref="H367:H374">H$24</f>
        <v>0</v>
      </c>
      <c r="I367" s="73"/>
      <c r="J367" s="71"/>
      <c r="K367" s="74">
        <f t="shared" si="208"/>
        <v>0</v>
      </c>
      <c r="L367" s="71">
        <f t="shared" si="206"/>
        <v>1800</v>
      </c>
      <c r="M367" s="71">
        <f t="shared" si="209"/>
        <v>0</v>
      </c>
      <c r="N367" s="71"/>
      <c r="O367" s="71"/>
      <c r="P367" s="75">
        <f t="shared" si="210"/>
        <v>0</v>
      </c>
      <c r="Q367" s="74">
        <f t="shared" si="211"/>
        <v>0</v>
      </c>
      <c r="R367" s="74">
        <f t="shared" si="212"/>
        <v>0</v>
      </c>
      <c r="S367" s="76">
        <f t="shared" si="213"/>
        <v>0</v>
      </c>
    </row>
    <row r="368" spans="1:19" s="39" customFormat="1" ht="12.75" hidden="1">
      <c r="A368" s="69">
        <v>4</v>
      </c>
      <c r="B368" s="70"/>
      <c r="C368" s="71" t="s">
        <v>52</v>
      </c>
      <c r="D368" s="72" t="str">
        <f t="shared" si="207"/>
        <v>услуга 21</v>
      </c>
      <c r="E368" s="71"/>
      <c r="F368" s="71">
        <f t="shared" si="205"/>
        <v>0</v>
      </c>
      <c r="G368" s="71">
        <v>7570</v>
      </c>
      <c r="H368" s="73">
        <f t="shared" si="214"/>
        <v>0</v>
      </c>
      <c r="I368" s="73"/>
      <c r="J368" s="71"/>
      <c r="K368" s="74">
        <f t="shared" si="208"/>
        <v>0</v>
      </c>
      <c r="L368" s="71">
        <f t="shared" si="206"/>
        <v>1800</v>
      </c>
      <c r="M368" s="71">
        <f t="shared" si="209"/>
        <v>0</v>
      </c>
      <c r="N368" s="71"/>
      <c r="O368" s="71"/>
      <c r="P368" s="75">
        <f t="shared" si="210"/>
        <v>0</v>
      </c>
      <c r="Q368" s="74">
        <f t="shared" si="211"/>
        <v>0</v>
      </c>
      <c r="R368" s="74">
        <f t="shared" si="212"/>
        <v>0</v>
      </c>
      <c r="S368" s="76">
        <f t="shared" si="213"/>
        <v>0</v>
      </c>
    </row>
    <row r="369" spans="1:19" s="39" customFormat="1" ht="12.75" hidden="1">
      <c r="A369" s="69">
        <v>5</v>
      </c>
      <c r="B369" s="70"/>
      <c r="C369" s="71" t="s">
        <v>52</v>
      </c>
      <c r="D369" s="72" t="str">
        <f t="shared" si="207"/>
        <v>услуга 21</v>
      </c>
      <c r="E369" s="71"/>
      <c r="F369" s="71">
        <f t="shared" si="205"/>
        <v>0</v>
      </c>
      <c r="G369" s="71">
        <v>7570</v>
      </c>
      <c r="H369" s="73">
        <f t="shared" si="214"/>
        <v>0</v>
      </c>
      <c r="I369" s="73"/>
      <c r="J369" s="71"/>
      <c r="K369" s="74">
        <f t="shared" si="208"/>
        <v>0</v>
      </c>
      <c r="L369" s="71">
        <f t="shared" si="206"/>
        <v>1800</v>
      </c>
      <c r="M369" s="71">
        <f t="shared" si="209"/>
        <v>0</v>
      </c>
      <c r="N369" s="71"/>
      <c r="O369" s="71"/>
      <c r="P369" s="75">
        <f t="shared" si="210"/>
        <v>0</v>
      </c>
      <c r="Q369" s="74">
        <f t="shared" si="211"/>
        <v>0</v>
      </c>
      <c r="R369" s="74">
        <f t="shared" si="212"/>
        <v>0</v>
      </c>
      <c r="S369" s="76">
        <f t="shared" si="213"/>
        <v>0</v>
      </c>
    </row>
    <row r="370" spans="1:19" s="39" customFormat="1" ht="12.75" hidden="1">
      <c r="A370" s="69">
        <v>6</v>
      </c>
      <c r="B370" s="70"/>
      <c r="C370" s="71" t="s">
        <v>52</v>
      </c>
      <c r="D370" s="72" t="str">
        <f t="shared" si="207"/>
        <v>услуга 21</v>
      </c>
      <c r="E370" s="71"/>
      <c r="F370" s="71">
        <f t="shared" si="205"/>
        <v>0</v>
      </c>
      <c r="G370" s="71">
        <v>7570</v>
      </c>
      <c r="H370" s="73">
        <f t="shared" si="214"/>
        <v>0</v>
      </c>
      <c r="I370" s="73"/>
      <c r="J370" s="71"/>
      <c r="K370" s="74">
        <f t="shared" si="208"/>
        <v>0</v>
      </c>
      <c r="L370" s="71">
        <f t="shared" si="206"/>
        <v>1800</v>
      </c>
      <c r="M370" s="71">
        <f t="shared" si="209"/>
        <v>0</v>
      </c>
      <c r="N370" s="71"/>
      <c r="O370" s="71"/>
      <c r="P370" s="75">
        <f t="shared" si="210"/>
        <v>0</v>
      </c>
      <c r="Q370" s="74">
        <f t="shared" si="211"/>
        <v>0</v>
      </c>
      <c r="R370" s="74">
        <f t="shared" si="212"/>
        <v>0</v>
      </c>
      <c r="S370" s="76">
        <f t="shared" si="213"/>
        <v>0</v>
      </c>
    </row>
    <row r="371" spans="1:19" s="39" customFormat="1" ht="12.75" hidden="1">
      <c r="A371" s="69">
        <v>7</v>
      </c>
      <c r="B371" s="70"/>
      <c r="C371" s="71" t="s">
        <v>52</v>
      </c>
      <c r="D371" s="72" t="str">
        <f t="shared" si="207"/>
        <v>услуга 21</v>
      </c>
      <c r="E371" s="71"/>
      <c r="F371" s="71">
        <f t="shared" si="205"/>
        <v>0</v>
      </c>
      <c r="G371" s="71">
        <v>7570</v>
      </c>
      <c r="H371" s="73">
        <f t="shared" si="214"/>
        <v>0</v>
      </c>
      <c r="I371" s="73"/>
      <c r="J371" s="71"/>
      <c r="K371" s="74">
        <f t="shared" si="208"/>
        <v>0</v>
      </c>
      <c r="L371" s="71">
        <f t="shared" si="206"/>
        <v>1800</v>
      </c>
      <c r="M371" s="71">
        <f t="shared" si="209"/>
        <v>0</v>
      </c>
      <c r="N371" s="71"/>
      <c r="O371" s="71"/>
      <c r="P371" s="75">
        <f t="shared" si="210"/>
        <v>0</v>
      </c>
      <c r="Q371" s="74">
        <f t="shared" si="211"/>
        <v>0</v>
      </c>
      <c r="R371" s="74">
        <f t="shared" si="212"/>
        <v>0</v>
      </c>
      <c r="S371" s="76">
        <f t="shared" si="213"/>
        <v>0</v>
      </c>
    </row>
    <row r="372" spans="1:19" s="39" customFormat="1" ht="12.75" hidden="1">
      <c r="A372" s="69">
        <v>8</v>
      </c>
      <c r="B372" s="70"/>
      <c r="C372" s="71" t="s">
        <v>52</v>
      </c>
      <c r="D372" s="72" t="str">
        <f t="shared" si="207"/>
        <v>услуга 21</v>
      </c>
      <c r="E372" s="71"/>
      <c r="F372" s="71">
        <f t="shared" si="205"/>
        <v>0</v>
      </c>
      <c r="G372" s="71">
        <v>7570</v>
      </c>
      <c r="H372" s="73">
        <f t="shared" si="214"/>
        <v>0</v>
      </c>
      <c r="I372" s="73"/>
      <c r="J372" s="71"/>
      <c r="K372" s="74">
        <f t="shared" si="208"/>
        <v>0</v>
      </c>
      <c r="L372" s="71">
        <f t="shared" si="206"/>
        <v>1800</v>
      </c>
      <c r="M372" s="71">
        <f t="shared" si="209"/>
        <v>0</v>
      </c>
      <c r="N372" s="71"/>
      <c r="O372" s="71"/>
      <c r="P372" s="75">
        <f t="shared" si="210"/>
        <v>0</v>
      </c>
      <c r="Q372" s="74">
        <f t="shared" si="211"/>
        <v>0</v>
      </c>
      <c r="R372" s="74">
        <f t="shared" si="212"/>
        <v>0</v>
      </c>
      <c r="S372" s="76">
        <f t="shared" si="213"/>
        <v>0</v>
      </c>
    </row>
    <row r="373" spans="1:19" s="39" customFormat="1" ht="12.75" hidden="1">
      <c r="A373" s="69">
        <v>9</v>
      </c>
      <c r="B373" s="70"/>
      <c r="C373" s="71" t="s">
        <v>52</v>
      </c>
      <c r="D373" s="72" t="str">
        <f t="shared" si="207"/>
        <v>услуга 21</v>
      </c>
      <c r="E373" s="71"/>
      <c r="F373" s="71">
        <f t="shared" si="205"/>
        <v>0</v>
      </c>
      <c r="G373" s="71">
        <v>7570</v>
      </c>
      <c r="H373" s="73">
        <f t="shared" si="214"/>
        <v>0</v>
      </c>
      <c r="I373" s="73"/>
      <c r="J373" s="71"/>
      <c r="K373" s="74">
        <f t="shared" si="208"/>
        <v>0</v>
      </c>
      <c r="L373" s="71">
        <f t="shared" si="206"/>
        <v>1800</v>
      </c>
      <c r="M373" s="71">
        <f t="shared" si="209"/>
        <v>0</v>
      </c>
      <c r="N373" s="71"/>
      <c r="O373" s="71"/>
      <c r="P373" s="75">
        <f t="shared" si="210"/>
        <v>0</v>
      </c>
      <c r="Q373" s="74">
        <f t="shared" si="211"/>
        <v>0</v>
      </c>
      <c r="R373" s="74">
        <f t="shared" si="212"/>
        <v>0</v>
      </c>
      <c r="S373" s="76">
        <f t="shared" si="213"/>
        <v>0</v>
      </c>
    </row>
    <row r="374" spans="1:19" s="39" customFormat="1" ht="12.75" hidden="1">
      <c r="A374" s="69">
        <v>10</v>
      </c>
      <c r="B374" s="70"/>
      <c r="C374" s="71" t="s">
        <v>52</v>
      </c>
      <c r="D374" s="72" t="str">
        <f t="shared" si="207"/>
        <v>услуга 21</v>
      </c>
      <c r="E374" s="71"/>
      <c r="F374" s="71">
        <f t="shared" si="205"/>
        <v>0</v>
      </c>
      <c r="G374" s="71">
        <v>7570</v>
      </c>
      <c r="H374" s="73">
        <f t="shared" si="214"/>
        <v>0</v>
      </c>
      <c r="I374" s="73"/>
      <c r="J374" s="71"/>
      <c r="K374" s="74">
        <f t="shared" si="208"/>
        <v>0</v>
      </c>
      <c r="L374" s="71">
        <f t="shared" si="206"/>
        <v>1800</v>
      </c>
      <c r="M374" s="71">
        <f t="shared" si="209"/>
        <v>0</v>
      </c>
      <c r="N374" s="71"/>
      <c r="O374" s="71"/>
      <c r="P374" s="75">
        <f t="shared" si="210"/>
        <v>0</v>
      </c>
      <c r="Q374" s="74">
        <f t="shared" si="211"/>
        <v>0</v>
      </c>
      <c r="R374" s="74">
        <f t="shared" si="212"/>
        <v>0</v>
      </c>
      <c r="S374" s="76">
        <f t="shared" si="213"/>
        <v>0</v>
      </c>
    </row>
    <row r="375" spans="1:19" s="39" customFormat="1" ht="13.5" hidden="1" thickBot="1">
      <c r="A375" s="113"/>
      <c r="B375" s="114"/>
      <c r="C375" s="114"/>
      <c r="D375" s="114" t="s">
        <v>53</v>
      </c>
      <c r="E375" s="114"/>
      <c r="F375" s="115">
        <f>SUM(F365:F374)</f>
        <v>0</v>
      </c>
      <c r="G375" s="114"/>
      <c r="H375" s="114"/>
      <c r="I375" s="114"/>
      <c r="J375" s="114"/>
      <c r="K375" s="116"/>
      <c r="L375" s="114"/>
      <c r="M375" s="117">
        <f>SUM(M365:M374)</f>
        <v>0</v>
      </c>
      <c r="N375" s="117">
        <f>SUM(N365:N374)</f>
        <v>0</v>
      </c>
      <c r="O375" s="117">
        <f>SUM(O365:O374)</f>
        <v>0</v>
      </c>
      <c r="P375" s="114"/>
      <c r="Q375" s="115">
        <f>SUM(Q365:Q374)</f>
        <v>0</v>
      </c>
      <c r="R375" s="115">
        <f>SUM(R365:R374)</f>
        <v>0</v>
      </c>
      <c r="S375" s="143">
        <f>SUM(S365:S374)</f>
        <v>0</v>
      </c>
    </row>
    <row r="376" spans="1:19" s="39" customFormat="1" ht="12.75" hidden="1">
      <c r="A376" s="118"/>
      <c r="B376" s="92"/>
      <c r="C376" s="92"/>
      <c r="D376" s="92"/>
      <c r="E376" s="92"/>
      <c r="F376" s="93"/>
      <c r="G376" s="92"/>
      <c r="H376" s="92"/>
      <c r="I376" s="92"/>
      <c r="J376" s="92"/>
      <c r="K376" s="94"/>
      <c r="L376" s="92"/>
      <c r="M376" s="95"/>
      <c r="N376" s="95">
        <f>доходы!C32</f>
        <v>0</v>
      </c>
      <c r="O376" s="96" t="s">
        <v>116</v>
      </c>
      <c r="P376" s="119"/>
      <c r="Q376" s="120"/>
      <c r="R376" s="121"/>
      <c r="S376" s="136"/>
    </row>
    <row r="377" spans="1:19" s="39" customFormat="1" ht="12.75" hidden="1">
      <c r="A377" s="137" t="s">
        <v>136</v>
      </c>
      <c r="B377" s="138" t="str">
        <f>доходы!B33</f>
        <v>услуга 22</v>
      </c>
      <c r="C377" s="92"/>
      <c r="D377" s="92"/>
      <c r="E377" s="92"/>
      <c r="F377" s="139"/>
      <c r="G377" s="139"/>
      <c r="H377" s="139"/>
      <c r="I377" s="139"/>
      <c r="J377" s="139"/>
      <c r="K377" s="140"/>
      <c r="L377" s="139"/>
      <c r="M377" s="139"/>
      <c r="N377" s="139"/>
      <c r="O377" s="139"/>
      <c r="P377" s="139"/>
      <c r="Q377" s="139"/>
      <c r="R377" s="139"/>
      <c r="S377" s="141"/>
    </row>
    <row r="378" spans="1:19" s="39" customFormat="1" ht="13.5" hidden="1" thickBot="1">
      <c r="A378" s="142"/>
      <c r="B378" s="139"/>
      <c r="C378" s="139"/>
      <c r="D378" s="139"/>
      <c r="E378" s="139"/>
      <c r="F378" s="139"/>
      <c r="G378" s="139"/>
      <c r="H378" s="139"/>
      <c r="I378" s="139"/>
      <c r="J378" s="139"/>
      <c r="K378" s="140"/>
      <c r="L378" s="139"/>
      <c r="M378" s="139"/>
      <c r="N378" s="139"/>
      <c r="O378" s="139"/>
      <c r="P378" s="139"/>
      <c r="Q378" s="139"/>
      <c r="R378" s="139"/>
      <c r="S378" s="141"/>
    </row>
    <row r="379" spans="1:19" s="39" customFormat="1" ht="51.75" hidden="1" thickBot="1">
      <c r="A379" s="99" t="s">
        <v>1</v>
      </c>
      <c r="B379" s="99" t="s">
        <v>2</v>
      </c>
      <c r="C379" s="99" t="s">
        <v>8</v>
      </c>
      <c r="D379" s="99" t="s">
        <v>3</v>
      </c>
      <c r="E379" s="99" t="s">
        <v>4</v>
      </c>
      <c r="F379" s="99" t="s">
        <v>5</v>
      </c>
      <c r="G379" s="99" t="s">
        <v>64</v>
      </c>
      <c r="H379" s="99" t="s">
        <v>117</v>
      </c>
      <c r="I379" s="99" t="s">
        <v>99</v>
      </c>
      <c r="J379" s="99" t="s">
        <v>65</v>
      </c>
      <c r="K379" s="100" t="s">
        <v>66</v>
      </c>
      <c r="L379" s="99" t="s">
        <v>67</v>
      </c>
      <c r="M379" s="99" t="s">
        <v>6</v>
      </c>
      <c r="N379" s="99" t="s">
        <v>54</v>
      </c>
      <c r="O379" s="99" t="s">
        <v>7</v>
      </c>
      <c r="P379" s="99" t="s">
        <v>48</v>
      </c>
      <c r="Q379" s="99" t="s">
        <v>49</v>
      </c>
      <c r="R379" s="99" t="s">
        <v>50</v>
      </c>
      <c r="S379" s="99" t="s">
        <v>51</v>
      </c>
    </row>
    <row r="380" spans="1:19" s="39" customFormat="1" ht="12.75" hidden="1">
      <c r="A380" s="101">
        <v>1</v>
      </c>
      <c r="B380" s="102">
        <v>2</v>
      </c>
      <c r="C380" s="102">
        <v>3</v>
      </c>
      <c r="D380" s="102">
        <v>4</v>
      </c>
      <c r="E380" s="102">
        <v>5</v>
      </c>
      <c r="F380" s="102">
        <v>6</v>
      </c>
      <c r="G380" s="102">
        <v>7</v>
      </c>
      <c r="H380" s="102">
        <v>8</v>
      </c>
      <c r="I380" s="102">
        <v>9</v>
      </c>
      <c r="J380" s="102">
        <v>10</v>
      </c>
      <c r="K380" s="104">
        <v>11</v>
      </c>
      <c r="L380" s="102">
        <v>12</v>
      </c>
      <c r="M380" s="102">
        <v>13</v>
      </c>
      <c r="N380" s="102">
        <v>14</v>
      </c>
      <c r="O380" s="102">
        <v>15</v>
      </c>
      <c r="P380" s="102">
        <v>16</v>
      </c>
      <c r="Q380" s="102">
        <v>17</v>
      </c>
      <c r="R380" s="102">
        <v>18</v>
      </c>
      <c r="S380" s="105">
        <v>19</v>
      </c>
    </row>
    <row r="381" spans="1:19" s="39" customFormat="1" ht="12.75" hidden="1">
      <c r="A381" s="69">
        <v>1</v>
      </c>
      <c r="B381" s="70" t="s">
        <v>118</v>
      </c>
      <c r="C381" s="71" t="s">
        <v>52</v>
      </c>
      <c r="D381" s="72" t="str">
        <f>B$377</f>
        <v>услуга 22</v>
      </c>
      <c r="E381" s="71"/>
      <c r="F381" s="71">
        <f aca="true" t="shared" si="215" ref="F381:F390">ROUND(O381/18/4,2)</f>
        <v>0</v>
      </c>
      <c r="G381" s="71">
        <v>7570</v>
      </c>
      <c r="H381" s="73">
        <v>0.15</v>
      </c>
      <c r="I381" s="73">
        <v>0</v>
      </c>
      <c r="J381" s="71"/>
      <c r="K381" s="74">
        <f>(G381+G381*(H381+I381))*J381</f>
        <v>0</v>
      </c>
      <c r="L381" s="71">
        <f aca="true" t="shared" si="216" ref="L381:L390">18*25*4</f>
        <v>1800</v>
      </c>
      <c r="M381" s="71">
        <f>N381*O381</f>
        <v>0</v>
      </c>
      <c r="N381" s="71"/>
      <c r="O381" s="71"/>
      <c r="P381" s="75">
        <f>ROUND(K381/L381,2)</f>
        <v>0</v>
      </c>
      <c r="Q381" s="74">
        <f>N381*O381*P381</f>
        <v>0</v>
      </c>
      <c r="R381" s="74">
        <f>Q381*0.15</f>
        <v>0</v>
      </c>
      <c r="S381" s="76">
        <f>Q381+R381</f>
        <v>0</v>
      </c>
    </row>
    <row r="382" spans="1:19" s="39" customFormat="1" ht="12.75" hidden="1">
      <c r="A382" s="69">
        <v>2</v>
      </c>
      <c r="B382" s="70"/>
      <c r="C382" s="71" t="s">
        <v>52</v>
      </c>
      <c r="D382" s="72" t="str">
        <f aca="true" t="shared" si="217" ref="D382:D390">B$377</f>
        <v>услуга 22</v>
      </c>
      <c r="E382" s="71"/>
      <c r="F382" s="71">
        <f t="shared" si="215"/>
        <v>0</v>
      </c>
      <c r="G382" s="71">
        <v>7570</v>
      </c>
      <c r="H382" s="73">
        <f>H$24</f>
        <v>0</v>
      </c>
      <c r="I382" s="73">
        <v>0</v>
      </c>
      <c r="J382" s="71"/>
      <c r="K382" s="74">
        <f aca="true" t="shared" si="218" ref="K382:K390">(G382+G382*(H382+I382))*J382</f>
        <v>0</v>
      </c>
      <c r="L382" s="71">
        <f t="shared" si="216"/>
        <v>1800</v>
      </c>
      <c r="M382" s="71">
        <f aca="true" t="shared" si="219" ref="M382:M390">N382*O382</f>
        <v>0</v>
      </c>
      <c r="N382" s="71"/>
      <c r="O382" s="71"/>
      <c r="P382" s="75">
        <f aca="true" t="shared" si="220" ref="P382:P390">ROUND(K382/L382,2)</f>
        <v>0</v>
      </c>
      <c r="Q382" s="74">
        <f aca="true" t="shared" si="221" ref="Q382:Q390">N382*O382*P382</f>
        <v>0</v>
      </c>
      <c r="R382" s="74">
        <f aca="true" t="shared" si="222" ref="R382:R390">Q382*0.15</f>
        <v>0</v>
      </c>
      <c r="S382" s="76">
        <f aca="true" t="shared" si="223" ref="S382:S390">Q382+R382</f>
        <v>0</v>
      </c>
    </row>
    <row r="383" spans="1:19" s="39" customFormat="1" ht="12.75" hidden="1">
      <c r="A383" s="69">
        <v>3</v>
      </c>
      <c r="B383" s="70"/>
      <c r="C383" s="71" t="s">
        <v>52</v>
      </c>
      <c r="D383" s="72" t="str">
        <f t="shared" si="217"/>
        <v>услуга 22</v>
      </c>
      <c r="E383" s="71"/>
      <c r="F383" s="71">
        <f t="shared" si="215"/>
        <v>0</v>
      </c>
      <c r="G383" s="71">
        <v>7570</v>
      </c>
      <c r="H383" s="73">
        <f aca="true" t="shared" si="224" ref="H383:H390">H$24</f>
        <v>0</v>
      </c>
      <c r="I383" s="73"/>
      <c r="J383" s="71"/>
      <c r="K383" s="74">
        <f t="shared" si="218"/>
        <v>0</v>
      </c>
      <c r="L383" s="71">
        <f t="shared" si="216"/>
        <v>1800</v>
      </c>
      <c r="M383" s="71">
        <f t="shared" si="219"/>
        <v>0</v>
      </c>
      <c r="N383" s="71"/>
      <c r="O383" s="71"/>
      <c r="P383" s="75">
        <f t="shared" si="220"/>
        <v>0</v>
      </c>
      <c r="Q383" s="74">
        <f t="shared" si="221"/>
        <v>0</v>
      </c>
      <c r="R383" s="74">
        <f t="shared" si="222"/>
        <v>0</v>
      </c>
      <c r="S383" s="76">
        <f t="shared" si="223"/>
        <v>0</v>
      </c>
    </row>
    <row r="384" spans="1:19" s="39" customFormat="1" ht="12.75" hidden="1">
      <c r="A384" s="69">
        <v>4</v>
      </c>
      <c r="B384" s="70"/>
      <c r="C384" s="71" t="s">
        <v>52</v>
      </c>
      <c r="D384" s="72" t="str">
        <f t="shared" si="217"/>
        <v>услуга 22</v>
      </c>
      <c r="E384" s="71"/>
      <c r="F384" s="71">
        <f t="shared" si="215"/>
        <v>0</v>
      </c>
      <c r="G384" s="71">
        <v>7570</v>
      </c>
      <c r="H384" s="73">
        <f t="shared" si="224"/>
        <v>0</v>
      </c>
      <c r="I384" s="73"/>
      <c r="J384" s="71"/>
      <c r="K384" s="74">
        <f t="shared" si="218"/>
        <v>0</v>
      </c>
      <c r="L384" s="71">
        <f t="shared" si="216"/>
        <v>1800</v>
      </c>
      <c r="M384" s="71">
        <f t="shared" si="219"/>
        <v>0</v>
      </c>
      <c r="N384" s="71"/>
      <c r="O384" s="71"/>
      <c r="P384" s="75">
        <f t="shared" si="220"/>
        <v>0</v>
      </c>
      <c r="Q384" s="74">
        <f t="shared" si="221"/>
        <v>0</v>
      </c>
      <c r="R384" s="74">
        <f t="shared" si="222"/>
        <v>0</v>
      </c>
      <c r="S384" s="76">
        <f t="shared" si="223"/>
        <v>0</v>
      </c>
    </row>
    <row r="385" spans="1:19" s="39" customFormat="1" ht="12.75" hidden="1">
      <c r="A385" s="69">
        <v>5</v>
      </c>
      <c r="B385" s="70"/>
      <c r="C385" s="71" t="s">
        <v>52</v>
      </c>
      <c r="D385" s="72" t="str">
        <f t="shared" si="217"/>
        <v>услуга 22</v>
      </c>
      <c r="E385" s="71"/>
      <c r="F385" s="71">
        <f t="shared" si="215"/>
        <v>0</v>
      </c>
      <c r="G385" s="71">
        <v>7570</v>
      </c>
      <c r="H385" s="73">
        <f t="shared" si="224"/>
        <v>0</v>
      </c>
      <c r="I385" s="73"/>
      <c r="J385" s="71"/>
      <c r="K385" s="74">
        <f t="shared" si="218"/>
        <v>0</v>
      </c>
      <c r="L385" s="71">
        <f t="shared" si="216"/>
        <v>1800</v>
      </c>
      <c r="M385" s="71">
        <f t="shared" si="219"/>
        <v>0</v>
      </c>
      <c r="N385" s="71"/>
      <c r="O385" s="71"/>
      <c r="P385" s="75">
        <f t="shared" si="220"/>
        <v>0</v>
      </c>
      <c r="Q385" s="74">
        <f t="shared" si="221"/>
        <v>0</v>
      </c>
      <c r="R385" s="74">
        <f t="shared" si="222"/>
        <v>0</v>
      </c>
      <c r="S385" s="76">
        <f t="shared" si="223"/>
        <v>0</v>
      </c>
    </row>
    <row r="386" spans="1:19" s="39" customFormat="1" ht="12.75" hidden="1">
      <c r="A386" s="69">
        <v>6</v>
      </c>
      <c r="B386" s="70"/>
      <c r="C386" s="71" t="s">
        <v>52</v>
      </c>
      <c r="D386" s="72" t="str">
        <f t="shared" si="217"/>
        <v>услуга 22</v>
      </c>
      <c r="E386" s="71"/>
      <c r="F386" s="71">
        <f t="shared" si="215"/>
        <v>0</v>
      </c>
      <c r="G386" s="71">
        <v>7570</v>
      </c>
      <c r="H386" s="73">
        <f t="shared" si="224"/>
        <v>0</v>
      </c>
      <c r="I386" s="73"/>
      <c r="J386" s="71"/>
      <c r="K386" s="74">
        <f t="shared" si="218"/>
        <v>0</v>
      </c>
      <c r="L386" s="71">
        <f t="shared" si="216"/>
        <v>1800</v>
      </c>
      <c r="M386" s="71">
        <f t="shared" si="219"/>
        <v>0</v>
      </c>
      <c r="N386" s="71"/>
      <c r="O386" s="71"/>
      <c r="P386" s="75">
        <f t="shared" si="220"/>
        <v>0</v>
      </c>
      <c r="Q386" s="74">
        <f t="shared" si="221"/>
        <v>0</v>
      </c>
      <c r="R386" s="74">
        <f t="shared" si="222"/>
        <v>0</v>
      </c>
      <c r="S386" s="76">
        <f t="shared" si="223"/>
        <v>0</v>
      </c>
    </row>
    <row r="387" spans="1:19" s="39" customFormat="1" ht="12.75" hidden="1">
      <c r="A387" s="69">
        <v>7</v>
      </c>
      <c r="B387" s="70"/>
      <c r="C387" s="71" t="s">
        <v>52</v>
      </c>
      <c r="D387" s="72" t="str">
        <f t="shared" si="217"/>
        <v>услуга 22</v>
      </c>
      <c r="E387" s="71"/>
      <c r="F387" s="71">
        <f t="shared" si="215"/>
        <v>0</v>
      </c>
      <c r="G387" s="71">
        <v>7570</v>
      </c>
      <c r="H387" s="73">
        <f t="shared" si="224"/>
        <v>0</v>
      </c>
      <c r="I387" s="73"/>
      <c r="J387" s="71"/>
      <c r="K387" s="74">
        <f t="shared" si="218"/>
        <v>0</v>
      </c>
      <c r="L387" s="71">
        <f t="shared" si="216"/>
        <v>1800</v>
      </c>
      <c r="M387" s="71">
        <f t="shared" si="219"/>
        <v>0</v>
      </c>
      <c r="N387" s="71"/>
      <c r="O387" s="71"/>
      <c r="P387" s="75">
        <f t="shared" si="220"/>
        <v>0</v>
      </c>
      <c r="Q387" s="74">
        <f t="shared" si="221"/>
        <v>0</v>
      </c>
      <c r="R387" s="74">
        <f t="shared" si="222"/>
        <v>0</v>
      </c>
      <c r="S387" s="76">
        <f t="shared" si="223"/>
        <v>0</v>
      </c>
    </row>
    <row r="388" spans="1:19" s="39" customFormat="1" ht="12.75" hidden="1">
      <c r="A388" s="69">
        <v>8</v>
      </c>
      <c r="B388" s="70"/>
      <c r="C388" s="71" t="s">
        <v>52</v>
      </c>
      <c r="D388" s="72" t="str">
        <f t="shared" si="217"/>
        <v>услуга 22</v>
      </c>
      <c r="E388" s="71"/>
      <c r="F388" s="71">
        <f t="shared" si="215"/>
        <v>0</v>
      </c>
      <c r="G388" s="71">
        <v>7570</v>
      </c>
      <c r="H388" s="73">
        <f t="shared" si="224"/>
        <v>0</v>
      </c>
      <c r="I388" s="73"/>
      <c r="J388" s="71"/>
      <c r="K388" s="74">
        <f t="shared" si="218"/>
        <v>0</v>
      </c>
      <c r="L388" s="71">
        <f t="shared" si="216"/>
        <v>1800</v>
      </c>
      <c r="M388" s="71">
        <f t="shared" si="219"/>
        <v>0</v>
      </c>
      <c r="N388" s="71"/>
      <c r="O388" s="71"/>
      <c r="P388" s="75">
        <f t="shared" si="220"/>
        <v>0</v>
      </c>
      <c r="Q388" s="74">
        <f t="shared" si="221"/>
        <v>0</v>
      </c>
      <c r="R388" s="74">
        <f t="shared" si="222"/>
        <v>0</v>
      </c>
      <c r="S388" s="76">
        <f t="shared" si="223"/>
        <v>0</v>
      </c>
    </row>
    <row r="389" spans="1:19" s="39" customFormat="1" ht="12.75" hidden="1">
      <c r="A389" s="69">
        <v>9</v>
      </c>
      <c r="B389" s="70"/>
      <c r="C389" s="71" t="s">
        <v>52</v>
      </c>
      <c r="D389" s="72" t="str">
        <f t="shared" si="217"/>
        <v>услуга 22</v>
      </c>
      <c r="E389" s="71"/>
      <c r="F389" s="71">
        <f t="shared" si="215"/>
        <v>0</v>
      </c>
      <c r="G389" s="71">
        <v>7570</v>
      </c>
      <c r="H389" s="73">
        <f t="shared" si="224"/>
        <v>0</v>
      </c>
      <c r="I389" s="73"/>
      <c r="J389" s="71"/>
      <c r="K389" s="74">
        <f t="shared" si="218"/>
        <v>0</v>
      </c>
      <c r="L389" s="71">
        <f t="shared" si="216"/>
        <v>1800</v>
      </c>
      <c r="M389" s="71">
        <f t="shared" si="219"/>
        <v>0</v>
      </c>
      <c r="N389" s="71"/>
      <c r="O389" s="71"/>
      <c r="P389" s="75">
        <f t="shared" si="220"/>
        <v>0</v>
      </c>
      <c r="Q389" s="74">
        <f t="shared" si="221"/>
        <v>0</v>
      </c>
      <c r="R389" s="74">
        <f t="shared" si="222"/>
        <v>0</v>
      </c>
      <c r="S389" s="76">
        <f t="shared" si="223"/>
        <v>0</v>
      </c>
    </row>
    <row r="390" spans="1:19" s="39" customFormat="1" ht="12.75" hidden="1">
      <c r="A390" s="69">
        <v>10</v>
      </c>
      <c r="B390" s="70"/>
      <c r="C390" s="71" t="s">
        <v>52</v>
      </c>
      <c r="D390" s="72" t="str">
        <f t="shared" si="217"/>
        <v>услуга 22</v>
      </c>
      <c r="E390" s="71"/>
      <c r="F390" s="71">
        <f t="shared" si="215"/>
        <v>0</v>
      </c>
      <c r="G390" s="71">
        <v>7570</v>
      </c>
      <c r="H390" s="73">
        <f t="shared" si="224"/>
        <v>0</v>
      </c>
      <c r="I390" s="73"/>
      <c r="J390" s="71"/>
      <c r="K390" s="74">
        <f t="shared" si="218"/>
        <v>0</v>
      </c>
      <c r="L390" s="71">
        <f t="shared" si="216"/>
        <v>1800</v>
      </c>
      <c r="M390" s="71">
        <f t="shared" si="219"/>
        <v>0</v>
      </c>
      <c r="N390" s="71"/>
      <c r="O390" s="71"/>
      <c r="P390" s="75">
        <f t="shared" si="220"/>
        <v>0</v>
      </c>
      <c r="Q390" s="74">
        <f t="shared" si="221"/>
        <v>0</v>
      </c>
      <c r="R390" s="74">
        <f t="shared" si="222"/>
        <v>0</v>
      </c>
      <c r="S390" s="76">
        <f t="shared" si="223"/>
        <v>0</v>
      </c>
    </row>
    <row r="391" spans="1:19" s="39" customFormat="1" ht="13.5" hidden="1" thickBot="1">
      <c r="A391" s="113"/>
      <c r="B391" s="114"/>
      <c r="C391" s="114"/>
      <c r="D391" s="114" t="s">
        <v>53</v>
      </c>
      <c r="E391" s="114"/>
      <c r="F391" s="115">
        <f>SUM(F381:F390)</f>
        <v>0</v>
      </c>
      <c r="G391" s="114"/>
      <c r="H391" s="114"/>
      <c r="I391" s="114"/>
      <c r="J391" s="114"/>
      <c r="K391" s="116"/>
      <c r="L391" s="114"/>
      <c r="M391" s="117">
        <f>SUM(M381:M390)</f>
        <v>0</v>
      </c>
      <c r="N391" s="117">
        <f>SUM(N381:N390)</f>
        <v>0</v>
      </c>
      <c r="O391" s="117">
        <f>SUM(O381:O390)</f>
        <v>0</v>
      </c>
      <c r="P391" s="114"/>
      <c r="Q391" s="115">
        <f>SUM(Q381:Q390)</f>
        <v>0</v>
      </c>
      <c r="R391" s="115">
        <f>SUM(R381:R390)</f>
        <v>0</v>
      </c>
      <c r="S391" s="143">
        <f>SUM(S381:S390)</f>
        <v>0</v>
      </c>
    </row>
    <row r="392" spans="1:19" s="39" customFormat="1" ht="12.75" hidden="1">
      <c r="A392" s="118"/>
      <c r="B392" s="92"/>
      <c r="C392" s="92"/>
      <c r="D392" s="92"/>
      <c r="E392" s="92"/>
      <c r="F392" s="93"/>
      <c r="G392" s="92"/>
      <c r="H392" s="92"/>
      <c r="I392" s="92"/>
      <c r="J392" s="92"/>
      <c r="K392" s="94"/>
      <c r="L392" s="92"/>
      <c r="M392" s="95"/>
      <c r="N392" s="95">
        <f>доходы!C33</f>
        <v>0</v>
      </c>
      <c r="O392" s="96" t="s">
        <v>116</v>
      </c>
      <c r="P392" s="119"/>
      <c r="Q392" s="120"/>
      <c r="R392" s="121"/>
      <c r="S392" s="136"/>
    </row>
    <row r="393" spans="1:19" s="39" customFormat="1" ht="12.75" hidden="1">
      <c r="A393" s="137" t="s">
        <v>137</v>
      </c>
      <c r="B393" s="138" t="str">
        <f>доходы!B34</f>
        <v>услуга 23</v>
      </c>
      <c r="C393" s="92"/>
      <c r="D393" s="92"/>
      <c r="E393" s="92"/>
      <c r="F393" s="139"/>
      <c r="G393" s="139"/>
      <c r="H393" s="139"/>
      <c r="I393" s="139"/>
      <c r="J393" s="139"/>
      <c r="K393" s="140"/>
      <c r="L393" s="139"/>
      <c r="M393" s="139"/>
      <c r="N393" s="139"/>
      <c r="O393" s="139"/>
      <c r="P393" s="139"/>
      <c r="Q393" s="139"/>
      <c r="R393" s="139"/>
      <c r="S393" s="141"/>
    </row>
    <row r="394" spans="1:19" s="39" customFormat="1" ht="13.5" hidden="1" thickBot="1">
      <c r="A394" s="142"/>
      <c r="B394" s="139"/>
      <c r="C394" s="139"/>
      <c r="D394" s="139"/>
      <c r="E394" s="139"/>
      <c r="F394" s="139"/>
      <c r="G394" s="139"/>
      <c r="H394" s="139"/>
      <c r="I394" s="139"/>
      <c r="J394" s="139"/>
      <c r="K394" s="140"/>
      <c r="L394" s="139"/>
      <c r="M394" s="139"/>
      <c r="N394" s="139"/>
      <c r="O394" s="139"/>
      <c r="P394" s="139"/>
      <c r="Q394" s="139"/>
      <c r="R394" s="139"/>
      <c r="S394" s="141"/>
    </row>
    <row r="395" spans="1:19" s="39" customFormat="1" ht="51.75" hidden="1" thickBot="1">
      <c r="A395" s="99" t="s">
        <v>1</v>
      </c>
      <c r="B395" s="99" t="s">
        <v>2</v>
      </c>
      <c r="C395" s="99" t="s">
        <v>8</v>
      </c>
      <c r="D395" s="99" t="s">
        <v>3</v>
      </c>
      <c r="E395" s="99" t="s">
        <v>4</v>
      </c>
      <c r="F395" s="99" t="s">
        <v>5</v>
      </c>
      <c r="G395" s="99" t="s">
        <v>64</v>
      </c>
      <c r="H395" s="99" t="s">
        <v>117</v>
      </c>
      <c r="I395" s="99" t="s">
        <v>99</v>
      </c>
      <c r="J395" s="99" t="s">
        <v>65</v>
      </c>
      <c r="K395" s="100" t="s">
        <v>66</v>
      </c>
      <c r="L395" s="99" t="s">
        <v>67</v>
      </c>
      <c r="M395" s="99" t="s">
        <v>6</v>
      </c>
      <c r="N395" s="99" t="s">
        <v>54</v>
      </c>
      <c r="O395" s="99" t="s">
        <v>7</v>
      </c>
      <c r="P395" s="99" t="s">
        <v>48</v>
      </c>
      <c r="Q395" s="99" t="s">
        <v>49</v>
      </c>
      <c r="R395" s="99" t="s">
        <v>50</v>
      </c>
      <c r="S395" s="99" t="s">
        <v>51</v>
      </c>
    </row>
    <row r="396" spans="1:19" s="39" customFormat="1" ht="12.75" hidden="1">
      <c r="A396" s="101">
        <v>1</v>
      </c>
      <c r="B396" s="102">
        <v>2</v>
      </c>
      <c r="C396" s="102">
        <v>3</v>
      </c>
      <c r="D396" s="102">
        <v>4</v>
      </c>
      <c r="E396" s="102">
        <v>5</v>
      </c>
      <c r="F396" s="102">
        <v>6</v>
      </c>
      <c r="G396" s="102">
        <v>7</v>
      </c>
      <c r="H396" s="102">
        <v>8</v>
      </c>
      <c r="I396" s="102">
        <v>9</v>
      </c>
      <c r="J396" s="102">
        <v>10</v>
      </c>
      <c r="K396" s="104">
        <v>11</v>
      </c>
      <c r="L396" s="102">
        <v>12</v>
      </c>
      <c r="M396" s="102">
        <v>13</v>
      </c>
      <c r="N396" s="102">
        <v>14</v>
      </c>
      <c r="O396" s="102">
        <v>15</v>
      </c>
      <c r="P396" s="102">
        <v>16</v>
      </c>
      <c r="Q396" s="102">
        <v>17</v>
      </c>
      <c r="R396" s="102">
        <v>18</v>
      </c>
      <c r="S396" s="105">
        <v>19</v>
      </c>
    </row>
    <row r="397" spans="1:19" s="39" customFormat="1" ht="12.75" hidden="1">
      <c r="A397" s="69">
        <v>1</v>
      </c>
      <c r="B397" s="70" t="s">
        <v>118</v>
      </c>
      <c r="C397" s="71" t="s">
        <v>52</v>
      </c>
      <c r="D397" s="72" t="str">
        <f>B$393</f>
        <v>услуга 23</v>
      </c>
      <c r="E397" s="71"/>
      <c r="F397" s="71">
        <f aca="true" t="shared" si="225" ref="F397:F406">ROUND(O397/18/4,2)</f>
        <v>0</v>
      </c>
      <c r="G397" s="71">
        <v>7570</v>
      </c>
      <c r="H397" s="73">
        <v>0.15</v>
      </c>
      <c r="I397" s="73">
        <v>0</v>
      </c>
      <c r="J397" s="71"/>
      <c r="K397" s="74">
        <f>(G397+G397*(H397+I397))*J397</f>
        <v>0</v>
      </c>
      <c r="L397" s="71">
        <f aca="true" t="shared" si="226" ref="L397:L406">18*25*4</f>
        <v>1800</v>
      </c>
      <c r="M397" s="71">
        <f>N397*O397</f>
        <v>0</v>
      </c>
      <c r="N397" s="71"/>
      <c r="O397" s="71"/>
      <c r="P397" s="75">
        <f>ROUND(K397/L397,2)</f>
        <v>0</v>
      </c>
      <c r="Q397" s="74">
        <f>N397*O397*P397</f>
        <v>0</v>
      </c>
      <c r="R397" s="74">
        <f>Q397*0.15</f>
        <v>0</v>
      </c>
      <c r="S397" s="76">
        <f>Q397+R397</f>
        <v>0</v>
      </c>
    </row>
    <row r="398" spans="1:19" s="39" customFormat="1" ht="12.75" hidden="1">
      <c r="A398" s="69">
        <v>2</v>
      </c>
      <c r="B398" s="70"/>
      <c r="C398" s="71" t="s">
        <v>52</v>
      </c>
      <c r="D398" s="72" t="str">
        <f aca="true" t="shared" si="227" ref="D398:D406">B$393</f>
        <v>услуга 23</v>
      </c>
      <c r="E398" s="71"/>
      <c r="F398" s="71">
        <f t="shared" si="225"/>
        <v>0</v>
      </c>
      <c r="G398" s="71">
        <v>7570</v>
      </c>
      <c r="H398" s="73">
        <f>H$24</f>
        <v>0</v>
      </c>
      <c r="I398" s="73">
        <v>0</v>
      </c>
      <c r="J398" s="71"/>
      <c r="K398" s="74">
        <f aca="true" t="shared" si="228" ref="K398:K406">(G398+G398*(H398+I398))*J398</f>
        <v>0</v>
      </c>
      <c r="L398" s="71">
        <f t="shared" si="226"/>
        <v>1800</v>
      </c>
      <c r="M398" s="71">
        <f aca="true" t="shared" si="229" ref="M398:M406">N398*O398</f>
        <v>0</v>
      </c>
      <c r="N398" s="71"/>
      <c r="O398" s="71"/>
      <c r="P398" s="75">
        <f aca="true" t="shared" si="230" ref="P398:P406">ROUND(K398/L398,2)</f>
        <v>0</v>
      </c>
      <c r="Q398" s="74">
        <f aca="true" t="shared" si="231" ref="Q398:Q406">N398*O398*P398</f>
        <v>0</v>
      </c>
      <c r="R398" s="74">
        <f aca="true" t="shared" si="232" ref="R398:R406">Q398*0.15</f>
        <v>0</v>
      </c>
      <c r="S398" s="76">
        <f aca="true" t="shared" si="233" ref="S398:S406">Q398+R398</f>
        <v>0</v>
      </c>
    </row>
    <row r="399" spans="1:19" s="39" customFormat="1" ht="12.75" hidden="1">
      <c r="A399" s="69">
        <v>3</v>
      </c>
      <c r="B399" s="70"/>
      <c r="C399" s="71" t="s">
        <v>52</v>
      </c>
      <c r="D399" s="72" t="str">
        <f t="shared" si="227"/>
        <v>услуга 23</v>
      </c>
      <c r="E399" s="71"/>
      <c r="F399" s="71">
        <f t="shared" si="225"/>
        <v>0</v>
      </c>
      <c r="G399" s="71">
        <v>7570</v>
      </c>
      <c r="H399" s="73">
        <f aca="true" t="shared" si="234" ref="H399:H406">H$24</f>
        <v>0</v>
      </c>
      <c r="I399" s="73"/>
      <c r="J399" s="71"/>
      <c r="K399" s="74">
        <f t="shared" si="228"/>
        <v>0</v>
      </c>
      <c r="L399" s="71">
        <f t="shared" si="226"/>
        <v>1800</v>
      </c>
      <c r="M399" s="71">
        <f t="shared" si="229"/>
        <v>0</v>
      </c>
      <c r="N399" s="71"/>
      <c r="O399" s="71"/>
      <c r="P399" s="75">
        <f t="shared" si="230"/>
        <v>0</v>
      </c>
      <c r="Q399" s="74">
        <f t="shared" si="231"/>
        <v>0</v>
      </c>
      <c r="R399" s="74">
        <f t="shared" si="232"/>
        <v>0</v>
      </c>
      <c r="S399" s="76">
        <f t="shared" si="233"/>
        <v>0</v>
      </c>
    </row>
    <row r="400" spans="1:19" s="39" customFormat="1" ht="12.75" hidden="1">
      <c r="A400" s="69">
        <v>4</v>
      </c>
      <c r="B400" s="70"/>
      <c r="C400" s="71" t="s">
        <v>52</v>
      </c>
      <c r="D400" s="72" t="str">
        <f t="shared" si="227"/>
        <v>услуга 23</v>
      </c>
      <c r="E400" s="71"/>
      <c r="F400" s="71">
        <f t="shared" si="225"/>
        <v>0</v>
      </c>
      <c r="G400" s="71">
        <v>7570</v>
      </c>
      <c r="H400" s="73">
        <f t="shared" si="234"/>
        <v>0</v>
      </c>
      <c r="I400" s="73"/>
      <c r="J400" s="71"/>
      <c r="K400" s="74">
        <f t="shared" si="228"/>
        <v>0</v>
      </c>
      <c r="L400" s="71">
        <f t="shared" si="226"/>
        <v>1800</v>
      </c>
      <c r="M400" s="71">
        <f t="shared" si="229"/>
        <v>0</v>
      </c>
      <c r="N400" s="71"/>
      <c r="O400" s="71"/>
      <c r="P400" s="75">
        <f t="shared" si="230"/>
        <v>0</v>
      </c>
      <c r="Q400" s="74">
        <f t="shared" si="231"/>
        <v>0</v>
      </c>
      <c r="R400" s="74">
        <f t="shared" si="232"/>
        <v>0</v>
      </c>
      <c r="S400" s="76">
        <f t="shared" si="233"/>
        <v>0</v>
      </c>
    </row>
    <row r="401" spans="1:19" s="39" customFormat="1" ht="12.75" hidden="1">
      <c r="A401" s="69">
        <v>5</v>
      </c>
      <c r="B401" s="70"/>
      <c r="C401" s="71" t="s">
        <v>52</v>
      </c>
      <c r="D401" s="72" t="str">
        <f t="shared" si="227"/>
        <v>услуга 23</v>
      </c>
      <c r="E401" s="71"/>
      <c r="F401" s="71">
        <f t="shared" si="225"/>
        <v>0</v>
      </c>
      <c r="G401" s="71">
        <v>7570</v>
      </c>
      <c r="H401" s="73">
        <f t="shared" si="234"/>
        <v>0</v>
      </c>
      <c r="I401" s="73"/>
      <c r="J401" s="71"/>
      <c r="K401" s="74">
        <f t="shared" si="228"/>
        <v>0</v>
      </c>
      <c r="L401" s="71">
        <f t="shared" si="226"/>
        <v>1800</v>
      </c>
      <c r="M401" s="71">
        <f t="shared" si="229"/>
        <v>0</v>
      </c>
      <c r="N401" s="71"/>
      <c r="O401" s="71"/>
      <c r="P401" s="75">
        <f t="shared" si="230"/>
        <v>0</v>
      </c>
      <c r="Q401" s="74">
        <f t="shared" si="231"/>
        <v>0</v>
      </c>
      <c r="R401" s="74">
        <f t="shared" si="232"/>
        <v>0</v>
      </c>
      <c r="S401" s="76">
        <f t="shared" si="233"/>
        <v>0</v>
      </c>
    </row>
    <row r="402" spans="1:19" s="39" customFormat="1" ht="12.75" hidden="1">
      <c r="A402" s="69">
        <v>6</v>
      </c>
      <c r="B402" s="70"/>
      <c r="C402" s="71" t="s">
        <v>52</v>
      </c>
      <c r="D402" s="72" t="str">
        <f t="shared" si="227"/>
        <v>услуга 23</v>
      </c>
      <c r="E402" s="71"/>
      <c r="F402" s="71">
        <f t="shared" si="225"/>
        <v>0</v>
      </c>
      <c r="G402" s="71">
        <v>7570</v>
      </c>
      <c r="H402" s="73">
        <f t="shared" si="234"/>
        <v>0</v>
      </c>
      <c r="I402" s="73"/>
      <c r="J402" s="71"/>
      <c r="K402" s="74">
        <f t="shared" si="228"/>
        <v>0</v>
      </c>
      <c r="L402" s="71">
        <f t="shared" si="226"/>
        <v>1800</v>
      </c>
      <c r="M402" s="71">
        <f t="shared" si="229"/>
        <v>0</v>
      </c>
      <c r="N402" s="71"/>
      <c r="O402" s="71"/>
      <c r="P402" s="75">
        <f t="shared" si="230"/>
        <v>0</v>
      </c>
      <c r="Q402" s="74">
        <f t="shared" si="231"/>
        <v>0</v>
      </c>
      <c r="R402" s="74">
        <f t="shared" si="232"/>
        <v>0</v>
      </c>
      <c r="S402" s="76">
        <f t="shared" si="233"/>
        <v>0</v>
      </c>
    </row>
    <row r="403" spans="1:19" s="39" customFormat="1" ht="12.75" hidden="1">
      <c r="A403" s="69">
        <v>7</v>
      </c>
      <c r="B403" s="70"/>
      <c r="C403" s="71" t="s">
        <v>52</v>
      </c>
      <c r="D403" s="72" t="str">
        <f t="shared" si="227"/>
        <v>услуга 23</v>
      </c>
      <c r="E403" s="71"/>
      <c r="F403" s="71">
        <f t="shared" si="225"/>
        <v>0</v>
      </c>
      <c r="G403" s="71">
        <v>7570</v>
      </c>
      <c r="H403" s="73">
        <f t="shared" si="234"/>
        <v>0</v>
      </c>
      <c r="I403" s="73"/>
      <c r="J403" s="71"/>
      <c r="K403" s="74">
        <f t="shared" si="228"/>
        <v>0</v>
      </c>
      <c r="L403" s="71">
        <f t="shared" si="226"/>
        <v>1800</v>
      </c>
      <c r="M403" s="71">
        <f t="shared" si="229"/>
        <v>0</v>
      </c>
      <c r="N403" s="71"/>
      <c r="O403" s="71"/>
      <c r="P403" s="75">
        <f t="shared" si="230"/>
        <v>0</v>
      </c>
      <c r="Q403" s="74">
        <f t="shared" si="231"/>
        <v>0</v>
      </c>
      <c r="R403" s="74">
        <f t="shared" si="232"/>
        <v>0</v>
      </c>
      <c r="S403" s="76">
        <f t="shared" si="233"/>
        <v>0</v>
      </c>
    </row>
    <row r="404" spans="1:19" s="39" customFormat="1" ht="12.75" hidden="1">
      <c r="A404" s="69">
        <v>8</v>
      </c>
      <c r="B404" s="70"/>
      <c r="C404" s="71" t="s">
        <v>52</v>
      </c>
      <c r="D404" s="72" t="str">
        <f t="shared" si="227"/>
        <v>услуга 23</v>
      </c>
      <c r="E404" s="71"/>
      <c r="F404" s="71">
        <f t="shared" si="225"/>
        <v>0</v>
      </c>
      <c r="G404" s="71">
        <v>7570</v>
      </c>
      <c r="H404" s="73">
        <f t="shared" si="234"/>
        <v>0</v>
      </c>
      <c r="I404" s="73"/>
      <c r="J404" s="71"/>
      <c r="K404" s="74">
        <f t="shared" si="228"/>
        <v>0</v>
      </c>
      <c r="L404" s="71">
        <f t="shared" si="226"/>
        <v>1800</v>
      </c>
      <c r="M404" s="71">
        <f t="shared" si="229"/>
        <v>0</v>
      </c>
      <c r="N404" s="71"/>
      <c r="O404" s="71"/>
      <c r="P404" s="75">
        <f t="shared" si="230"/>
        <v>0</v>
      </c>
      <c r="Q404" s="74">
        <f t="shared" si="231"/>
        <v>0</v>
      </c>
      <c r="R404" s="74">
        <f t="shared" si="232"/>
        <v>0</v>
      </c>
      <c r="S404" s="76">
        <f t="shared" si="233"/>
        <v>0</v>
      </c>
    </row>
    <row r="405" spans="1:19" s="39" customFormat="1" ht="12.75" hidden="1">
      <c r="A405" s="69">
        <v>9</v>
      </c>
      <c r="B405" s="70"/>
      <c r="C405" s="71" t="s">
        <v>52</v>
      </c>
      <c r="D405" s="72" t="str">
        <f t="shared" si="227"/>
        <v>услуга 23</v>
      </c>
      <c r="E405" s="71"/>
      <c r="F405" s="71">
        <f t="shared" si="225"/>
        <v>0</v>
      </c>
      <c r="G405" s="71">
        <v>7570</v>
      </c>
      <c r="H405" s="73">
        <f t="shared" si="234"/>
        <v>0</v>
      </c>
      <c r="I405" s="73"/>
      <c r="J405" s="71"/>
      <c r="K405" s="74">
        <f t="shared" si="228"/>
        <v>0</v>
      </c>
      <c r="L405" s="71">
        <f t="shared" si="226"/>
        <v>1800</v>
      </c>
      <c r="M405" s="71">
        <f t="shared" si="229"/>
        <v>0</v>
      </c>
      <c r="N405" s="71"/>
      <c r="O405" s="71"/>
      <c r="P405" s="75">
        <f t="shared" si="230"/>
        <v>0</v>
      </c>
      <c r="Q405" s="74">
        <f t="shared" si="231"/>
        <v>0</v>
      </c>
      <c r="R405" s="74">
        <f t="shared" si="232"/>
        <v>0</v>
      </c>
      <c r="S405" s="76">
        <f t="shared" si="233"/>
        <v>0</v>
      </c>
    </row>
    <row r="406" spans="1:19" s="39" customFormat="1" ht="12.75" hidden="1">
      <c r="A406" s="69">
        <v>10</v>
      </c>
      <c r="B406" s="70"/>
      <c r="C406" s="71" t="s">
        <v>52</v>
      </c>
      <c r="D406" s="72" t="str">
        <f t="shared" si="227"/>
        <v>услуга 23</v>
      </c>
      <c r="E406" s="71"/>
      <c r="F406" s="71">
        <f t="shared" si="225"/>
        <v>0</v>
      </c>
      <c r="G406" s="71">
        <v>7570</v>
      </c>
      <c r="H406" s="73">
        <f t="shared" si="234"/>
        <v>0</v>
      </c>
      <c r="I406" s="73"/>
      <c r="J406" s="71"/>
      <c r="K406" s="74">
        <f t="shared" si="228"/>
        <v>0</v>
      </c>
      <c r="L406" s="71">
        <f t="shared" si="226"/>
        <v>1800</v>
      </c>
      <c r="M406" s="71">
        <f t="shared" si="229"/>
        <v>0</v>
      </c>
      <c r="N406" s="71"/>
      <c r="O406" s="71"/>
      <c r="P406" s="75">
        <f t="shared" si="230"/>
        <v>0</v>
      </c>
      <c r="Q406" s="74">
        <f t="shared" si="231"/>
        <v>0</v>
      </c>
      <c r="R406" s="74">
        <f t="shared" si="232"/>
        <v>0</v>
      </c>
      <c r="S406" s="76">
        <f t="shared" si="233"/>
        <v>0</v>
      </c>
    </row>
    <row r="407" spans="1:19" s="39" customFormat="1" ht="13.5" hidden="1" thickBot="1">
      <c r="A407" s="113"/>
      <c r="B407" s="114"/>
      <c r="C407" s="114"/>
      <c r="D407" s="114" t="s">
        <v>53</v>
      </c>
      <c r="E407" s="114"/>
      <c r="F407" s="115">
        <f>SUM(F397:F406)</f>
        <v>0</v>
      </c>
      <c r="G407" s="114"/>
      <c r="H407" s="114"/>
      <c r="I407" s="114"/>
      <c r="J407" s="114"/>
      <c r="K407" s="116"/>
      <c r="L407" s="114"/>
      <c r="M407" s="117">
        <f>SUM(M397:M406)</f>
        <v>0</v>
      </c>
      <c r="N407" s="117">
        <f>SUM(N397:N406)</f>
        <v>0</v>
      </c>
      <c r="O407" s="117">
        <f>SUM(O397:O406)</f>
        <v>0</v>
      </c>
      <c r="P407" s="114"/>
      <c r="Q407" s="115">
        <f>SUM(Q397:Q406)</f>
        <v>0</v>
      </c>
      <c r="R407" s="115">
        <f>SUM(R397:R406)</f>
        <v>0</v>
      </c>
      <c r="S407" s="143">
        <f>SUM(S397:S406)</f>
        <v>0</v>
      </c>
    </row>
    <row r="408" spans="1:19" s="39" customFormat="1" ht="12.75" hidden="1">
      <c r="A408" s="118"/>
      <c r="B408" s="92"/>
      <c r="C408" s="92"/>
      <c r="D408" s="92"/>
      <c r="E408" s="92"/>
      <c r="F408" s="93"/>
      <c r="G408" s="92"/>
      <c r="H408" s="92"/>
      <c r="I408" s="92"/>
      <c r="J408" s="92"/>
      <c r="K408" s="94"/>
      <c r="L408" s="92"/>
      <c r="M408" s="95"/>
      <c r="N408" s="95">
        <f>доходы!C34</f>
        <v>0</v>
      </c>
      <c r="O408" s="96" t="s">
        <v>116</v>
      </c>
      <c r="P408" s="119"/>
      <c r="Q408" s="120"/>
      <c r="R408" s="121"/>
      <c r="S408" s="136"/>
    </row>
    <row r="409" spans="1:19" s="39" customFormat="1" ht="12.75" hidden="1">
      <c r="A409" s="137" t="s">
        <v>138</v>
      </c>
      <c r="B409" s="138" t="str">
        <f>доходы!B35</f>
        <v>услуга 24</v>
      </c>
      <c r="C409" s="92"/>
      <c r="D409" s="92"/>
      <c r="E409" s="92"/>
      <c r="F409" s="139"/>
      <c r="G409" s="139"/>
      <c r="H409" s="139"/>
      <c r="I409" s="139"/>
      <c r="J409" s="139"/>
      <c r="K409" s="140"/>
      <c r="L409" s="139"/>
      <c r="M409" s="139"/>
      <c r="N409" s="139"/>
      <c r="O409" s="139"/>
      <c r="P409" s="139"/>
      <c r="Q409" s="139"/>
      <c r="R409" s="139"/>
      <c r="S409" s="141"/>
    </row>
    <row r="410" spans="1:19" s="39" customFormat="1" ht="13.5" hidden="1" thickBot="1">
      <c r="A410" s="142"/>
      <c r="B410" s="139"/>
      <c r="C410" s="139"/>
      <c r="D410" s="139"/>
      <c r="E410" s="139"/>
      <c r="F410" s="139"/>
      <c r="G410" s="139"/>
      <c r="H410" s="139"/>
      <c r="I410" s="139"/>
      <c r="J410" s="139"/>
      <c r="K410" s="140"/>
      <c r="L410" s="139"/>
      <c r="M410" s="139"/>
      <c r="N410" s="139"/>
      <c r="O410" s="139"/>
      <c r="P410" s="139"/>
      <c r="Q410" s="139"/>
      <c r="R410" s="139"/>
      <c r="S410" s="141"/>
    </row>
    <row r="411" spans="1:19" s="39" customFormat="1" ht="51.75" hidden="1" thickBot="1">
      <c r="A411" s="99" t="s">
        <v>1</v>
      </c>
      <c r="B411" s="99" t="s">
        <v>2</v>
      </c>
      <c r="C411" s="99" t="s">
        <v>8</v>
      </c>
      <c r="D411" s="99" t="s">
        <v>3</v>
      </c>
      <c r="E411" s="99" t="s">
        <v>4</v>
      </c>
      <c r="F411" s="99" t="s">
        <v>5</v>
      </c>
      <c r="G411" s="99" t="s">
        <v>64</v>
      </c>
      <c r="H411" s="99" t="s">
        <v>117</v>
      </c>
      <c r="I411" s="99" t="s">
        <v>99</v>
      </c>
      <c r="J411" s="99" t="s">
        <v>65</v>
      </c>
      <c r="K411" s="100" t="s">
        <v>66</v>
      </c>
      <c r="L411" s="99" t="s">
        <v>67</v>
      </c>
      <c r="M411" s="99" t="s">
        <v>6</v>
      </c>
      <c r="N411" s="99" t="s">
        <v>54</v>
      </c>
      <c r="O411" s="99" t="s">
        <v>7</v>
      </c>
      <c r="P411" s="99" t="s">
        <v>48</v>
      </c>
      <c r="Q411" s="99" t="s">
        <v>49</v>
      </c>
      <c r="R411" s="99" t="s">
        <v>50</v>
      </c>
      <c r="S411" s="99" t="s">
        <v>51</v>
      </c>
    </row>
    <row r="412" spans="1:19" s="39" customFormat="1" ht="12.75" hidden="1">
      <c r="A412" s="101">
        <v>1</v>
      </c>
      <c r="B412" s="102">
        <v>2</v>
      </c>
      <c r="C412" s="102">
        <v>3</v>
      </c>
      <c r="D412" s="102">
        <v>4</v>
      </c>
      <c r="E412" s="102">
        <v>5</v>
      </c>
      <c r="F412" s="102">
        <v>6</v>
      </c>
      <c r="G412" s="102">
        <v>7</v>
      </c>
      <c r="H412" s="102">
        <v>8</v>
      </c>
      <c r="I412" s="102">
        <v>9</v>
      </c>
      <c r="J412" s="102">
        <v>10</v>
      </c>
      <c r="K412" s="104">
        <v>11</v>
      </c>
      <c r="L412" s="102">
        <v>12</v>
      </c>
      <c r="M412" s="102">
        <v>13</v>
      </c>
      <c r="N412" s="102">
        <v>14</v>
      </c>
      <c r="O412" s="102">
        <v>15</v>
      </c>
      <c r="P412" s="102">
        <v>16</v>
      </c>
      <c r="Q412" s="102">
        <v>17</v>
      </c>
      <c r="R412" s="102">
        <v>18</v>
      </c>
      <c r="S412" s="105">
        <v>19</v>
      </c>
    </row>
    <row r="413" spans="1:19" s="39" customFormat="1" ht="12.75" hidden="1">
      <c r="A413" s="69">
        <v>1</v>
      </c>
      <c r="B413" s="70" t="s">
        <v>118</v>
      </c>
      <c r="C413" s="71" t="s">
        <v>52</v>
      </c>
      <c r="D413" s="72" t="str">
        <f>B$409</f>
        <v>услуга 24</v>
      </c>
      <c r="E413" s="71"/>
      <c r="F413" s="71">
        <f aca="true" t="shared" si="235" ref="F413:F422">ROUND(O413/18/4,2)</f>
        <v>0</v>
      </c>
      <c r="G413" s="71">
        <v>7570</v>
      </c>
      <c r="H413" s="73">
        <v>0.15</v>
      </c>
      <c r="I413" s="73">
        <v>0</v>
      </c>
      <c r="J413" s="71"/>
      <c r="K413" s="74">
        <f>(G413+G413*(H413+I413))*J413</f>
        <v>0</v>
      </c>
      <c r="L413" s="71">
        <f aca="true" t="shared" si="236" ref="L413:L422">18*25*4</f>
        <v>1800</v>
      </c>
      <c r="M413" s="71">
        <f>N413*O413</f>
        <v>0</v>
      </c>
      <c r="N413" s="71"/>
      <c r="O413" s="71"/>
      <c r="P413" s="75">
        <f>ROUND(K413/L413,2)</f>
        <v>0</v>
      </c>
      <c r="Q413" s="74">
        <f>N413*O413*P413</f>
        <v>0</v>
      </c>
      <c r="R413" s="74">
        <f>Q413*0.15</f>
        <v>0</v>
      </c>
      <c r="S413" s="76">
        <f>Q413+R413</f>
        <v>0</v>
      </c>
    </row>
    <row r="414" spans="1:19" s="39" customFormat="1" ht="12.75" hidden="1">
      <c r="A414" s="69">
        <v>2</v>
      </c>
      <c r="B414" s="70"/>
      <c r="C414" s="71" t="s">
        <v>52</v>
      </c>
      <c r="D414" s="72" t="str">
        <f aca="true" t="shared" si="237" ref="D414:D422">B$409</f>
        <v>услуга 24</v>
      </c>
      <c r="E414" s="71"/>
      <c r="F414" s="71">
        <f t="shared" si="235"/>
        <v>0</v>
      </c>
      <c r="G414" s="71">
        <v>7570</v>
      </c>
      <c r="H414" s="73">
        <f>H$24</f>
        <v>0</v>
      </c>
      <c r="I414" s="73">
        <v>0</v>
      </c>
      <c r="J414" s="71"/>
      <c r="K414" s="74">
        <f aca="true" t="shared" si="238" ref="K414:K422">(G414+G414*(H414+I414))*J414</f>
        <v>0</v>
      </c>
      <c r="L414" s="71">
        <f t="shared" si="236"/>
        <v>1800</v>
      </c>
      <c r="M414" s="71">
        <f aca="true" t="shared" si="239" ref="M414:M422">N414*O414</f>
        <v>0</v>
      </c>
      <c r="N414" s="71"/>
      <c r="O414" s="71"/>
      <c r="P414" s="75">
        <f aca="true" t="shared" si="240" ref="P414:P422">ROUND(K414/L414,2)</f>
        <v>0</v>
      </c>
      <c r="Q414" s="74">
        <f aca="true" t="shared" si="241" ref="Q414:Q422">N414*O414*P414</f>
        <v>0</v>
      </c>
      <c r="R414" s="74">
        <f aca="true" t="shared" si="242" ref="R414:R422">Q414*0.15</f>
        <v>0</v>
      </c>
      <c r="S414" s="76">
        <f aca="true" t="shared" si="243" ref="S414:S422">Q414+R414</f>
        <v>0</v>
      </c>
    </row>
    <row r="415" spans="1:19" s="39" customFormat="1" ht="12.75" hidden="1">
      <c r="A415" s="69">
        <v>3</v>
      </c>
      <c r="B415" s="70"/>
      <c r="C415" s="71" t="s">
        <v>52</v>
      </c>
      <c r="D415" s="72" t="str">
        <f t="shared" si="237"/>
        <v>услуга 24</v>
      </c>
      <c r="E415" s="71"/>
      <c r="F415" s="71">
        <f t="shared" si="235"/>
        <v>0</v>
      </c>
      <c r="G415" s="71">
        <v>7570</v>
      </c>
      <c r="H415" s="73">
        <f aca="true" t="shared" si="244" ref="H415:H422">H$24</f>
        <v>0</v>
      </c>
      <c r="I415" s="73"/>
      <c r="J415" s="71"/>
      <c r="K415" s="74">
        <f t="shared" si="238"/>
        <v>0</v>
      </c>
      <c r="L415" s="71">
        <f t="shared" si="236"/>
        <v>1800</v>
      </c>
      <c r="M415" s="71">
        <f t="shared" si="239"/>
        <v>0</v>
      </c>
      <c r="N415" s="71"/>
      <c r="O415" s="71"/>
      <c r="P415" s="75">
        <f t="shared" si="240"/>
        <v>0</v>
      </c>
      <c r="Q415" s="74">
        <f t="shared" si="241"/>
        <v>0</v>
      </c>
      <c r="R415" s="74">
        <f t="shared" si="242"/>
        <v>0</v>
      </c>
      <c r="S415" s="76">
        <f t="shared" si="243"/>
        <v>0</v>
      </c>
    </row>
    <row r="416" spans="1:19" s="39" customFormat="1" ht="12.75" hidden="1">
      <c r="A416" s="69">
        <v>4</v>
      </c>
      <c r="B416" s="70"/>
      <c r="C416" s="71" t="s">
        <v>52</v>
      </c>
      <c r="D416" s="72" t="str">
        <f t="shared" si="237"/>
        <v>услуга 24</v>
      </c>
      <c r="E416" s="71"/>
      <c r="F416" s="71">
        <f t="shared" si="235"/>
        <v>0</v>
      </c>
      <c r="G416" s="71">
        <v>7570</v>
      </c>
      <c r="H416" s="73">
        <f t="shared" si="244"/>
        <v>0</v>
      </c>
      <c r="I416" s="73"/>
      <c r="J416" s="71"/>
      <c r="K416" s="74">
        <f t="shared" si="238"/>
        <v>0</v>
      </c>
      <c r="L416" s="71">
        <f t="shared" si="236"/>
        <v>1800</v>
      </c>
      <c r="M416" s="71">
        <f t="shared" si="239"/>
        <v>0</v>
      </c>
      <c r="N416" s="71"/>
      <c r="O416" s="71"/>
      <c r="P416" s="75">
        <f t="shared" si="240"/>
        <v>0</v>
      </c>
      <c r="Q416" s="74">
        <f t="shared" si="241"/>
        <v>0</v>
      </c>
      <c r="R416" s="74">
        <f t="shared" si="242"/>
        <v>0</v>
      </c>
      <c r="S416" s="76">
        <f t="shared" si="243"/>
        <v>0</v>
      </c>
    </row>
    <row r="417" spans="1:19" s="39" customFormat="1" ht="12.75" hidden="1">
      <c r="A417" s="69">
        <v>5</v>
      </c>
      <c r="B417" s="70"/>
      <c r="C417" s="71" t="s">
        <v>52</v>
      </c>
      <c r="D417" s="72" t="str">
        <f t="shared" si="237"/>
        <v>услуга 24</v>
      </c>
      <c r="E417" s="71"/>
      <c r="F417" s="71">
        <f t="shared" si="235"/>
        <v>0</v>
      </c>
      <c r="G417" s="71">
        <v>7570</v>
      </c>
      <c r="H417" s="73">
        <f t="shared" si="244"/>
        <v>0</v>
      </c>
      <c r="I417" s="73"/>
      <c r="J417" s="71"/>
      <c r="K417" s="74">
        <f t="shared" si="238"/>
        <v>0</v>
      </c>
      <c r="L417" s="71">
        <f t="shared" si="236"/>
        <v>1800</v>
      </c>
      <c r="M417" s="71">
        <f t="shared" si="239"/>
        <v>0</v>
      </c>
      <c r="N417" s="71"/>
      <c r="O417" s="71"/>
      <c r="P417" s="75">
        <f t="shared" si="240"/>
        <v>0</v>
      </c>
      <c r="Q417" s="74">
        <f t="shared" si="241"/>
        <v>0</v>
      </c>
      <c r="R417" s="74">
        <f t="shared" si="242"/>
        <v>0</v>
      </c>
      <c r="S417" s="76">
        <f t="shared" si="243"/>
        <v>0</v>
      </c>
    </row>
    <row r="418" spans="1:19" s="39" customFormat="1" ht="12.75" hidden="1">
      <c r="A418" s="69">
        <v>6</v>
      </c>
      <c r="B418" s="70"/>
      <c r="C418" s="71" t="s">
        <v>52</v>
      </c>
      <c r="D418" s="72" t="str">
        <f t="shared" si="237"/>
        <v>услуга 24</v>
      </c>
      <c r="E418" s="71"/>
      <c r="F418" s="71">
        <f t="shared" si="235"/>
        <v>0</v>
      </c>
      <c r="G418" s="71">
        <v>7570</v>
      </c>
      <c r="H418" s="73">
        <f t="shared" si="244"/>
        <v>0</v>
      </c>
      <c r="I418" s="73"/>
      <c r="J418" s="71"/>
      <c r="K418" s="74">
        <f t="shared" si="238"/>
        <v>0</v>
      </c>
      <c r="L418" s="71">
        <f t="shared" si="236"/>
        <v>1800</v>
      </c>
      <c r="M418" s="71">
        <f t="shared" si="239"/>
        <v>0</v>
      </c>
      <c r="N418" s="71"/>
      <c r="O418" s="71"/>
      <c r="P418" s="75">
        <f t="shared" si="240"/>
        <v>0</v>
      </c>
      <c r="Q418" s="74">
        <f t="shared" si="241"/>
        <v>0</v>
      </c>
      <c r="R418" s="74">
        <f t="shared" si="242"/>
        <v>0</v>
      </c>
      <c r="S418" s="76">
        <f t="shared" si="243"/>
        <v>0</v>
      </c>
    </row>
    <row r="419" spans="1:19" s="39" customFormat="1" ht="12.75" hidden="1">
      <c r="A419" s="69">
        <v>7</v>
      </c>
      <c r="B419" s="70"/>
      <c r="C419" s="71" t="s">
        <v>52</v>
      </c>
      <c r="D419" s="72" t="str">
        <f t="shared" si="237"/>
        <v>услуга 24</v>
      </c>
      <c r="E419" s="71"/>
      <c r="F419" s="71">
        <f t="shared" si="235"/>
        <v>0</v>
      </c>
      <c r="G419" s="71">
        <v>7570</v>
      </c>
      <c r="H419" s="73">
        <f t="shared" si="244"/>
        <v>0</v>
      </c>
      <c r="I419" s="73"/>
      <c r="J419" s="71"/>
      <c r="K419" s="74">
        <f t="shared" si="238"/>
        <v>0</v>
      </c>
      <c r="L419" s="71">
        <f t="shared" si="236"/>
        <v>1800</v>
      </c>
      <c r="M419" s="71">
        <f t="shared" si="239"/>
        <v>0</v>
      </c>
      <c r="N419" s="71"/>
      <c r="O419" s="71"/>
      <c r="P419" s="75">
        <f t="shared" si="240"/>
        <v>0</v>
      </c>
      <c r="Q419" s="74">
        <f t="shared" si="241"/>
        <v>0</v>
      </c>
      <c r="R419" s="74">
        <f t="shared" si="242"/>
        <v>0</v>
      </c>
      <c r="S419" s="76">
        <f t="shared" si="243"/>
        <v>0</v>
      </c>
    </row>
    <row r="420" spans="1:19" s="39" customFormat="1" ht="12.75" hidden="1">
      <c r="A420" s="69">
        <v>8</v>
      </c>
      <c r="B420" s="70"/>
      <c r="C420" s="71" t="s">
        <v>52</v>
      </c>
      <c r="D420" s="72" t="str">
        <f t="shared" si="237"/>
        <v>услуга 24</v>
      </c>
      <c r="E420" s="71"/>
      <c r="F420" s="71">
        <f t="shared" si="235"/>
        <v>0</v>
      </c>
      <c r="G420" s="71">
        <v>7570</v>
      </c>
      <c r="H420" s="73">
        <f t="shared" si="244"/>
        <v>0</v>
      </c>
      <c r="I420" s="73"/>
      <c r="J420" s="71"/>
      <c r="K420" s="74">
        <f t="shared" si="238"/>
        <v>0</v>
      </c>
      <c r="L420" s="71">
        <f t="shared" si="236"/>
        <v>1800</v>
      </c>
      <c r="M420" s="71">
        <f t="shared" si="239"/>
        <v>0</v>
      </c>
      <c r="N420" s="71"/>
      <c r="O420" s="71"/>
      <c r="P420" s="75">
        <f t="shared" si="240"/>
        <v>0</v>
      </c>
      <c r="Q420" s="74">
        <f t="shared" si="241"/>
        <v>0</v>
      </c>
      <c r="R420" s="74">
        <f t="shared" si="242"/>
        <v>0</v>
      </c>
      <c r="S420" s="76">
        <f t="shared" si="243"/>
        <v>0</v>
      </c>
    </row>
    <row r="421" spans="1:19" s="39" customFormat="1" ht="12.75" hidden="1">
      <c r="A421" s="69">
        <v>9</v>
      </c>
      <c r="B421" s="70"/>
      <c r="C421" s="71" t="s">
        <v>52</v>
      </c>
      <c r="D421" s="72" t="str">
        <f t="shared" si="237"/>
        <v>услуга 24</v>
      </c>
      <c r="E421" s="71"/>
      <c r="F421" s="71">
        <f t="shared" si="235"/>
        <v>0</v>
      </c>
      <c r="G421" s="71">
        <v>7570</v>
      </c>
      <c r="H421" s="73">
        <f t="shared" si="244"/>
        <v>0</v>
      </c>
      <c r="I421" s="73"/>
      <c r="J421" s="71"/>
      <c r="K421" s="74">
        <f t="shared" si="238"/>
        <v>0</v>
      </c>
      <c r="L421" s="71">
        <f t="shared" si="236"/>
        <v>1800</v>
      </c>
      <c r="M421" s="71">
        <f t="shared" si="239"/>
        <v>0</v>
      </c>
      <c r="N421" s="71"/>
      <c r="O421" s="71"/>
      <c r="P421" s="75">
        <f t="shared" si="240"/>
        <v>0</v>
      </c>
      <c r="Q421" s="74">
        <f t="shared" si="241"/>
        <v>0</v>
      </c>
      <c r="R421" s="74">
        <f t="shared" si="242"/>
        <v>0</v>
      </c>
      <c r="S421" s="76">
        <f t="shared" si="243"/>
        <v>0</v>
      </c>
    </row>
    <row r="422" spans="1:19" s="39" customFormat="1" ht="12.75" hidden="1">
      <c r="A422" s="69">
        <v>10</v>
      </c>
      <c r="B422" s="70"/>
      <c r="C422" s="71" t="s">
        <v>52</v>
      </c>
      <c r="D422" s="72" t="str">
        <f t="shared" si="237"/>
        <v>услуга 24</v>
      </c>
      <c r="E422" s="71"/>
      <c r="F422" s="71">
        <f t="shared" si="235"/>
        <v>0</v>
      </c>
      <c r="G422" s="71">
        <v>7570</v>
      </c>
      <c r="H422" s="73">
        <f t="shared" si="244"/>
        <v>0</v>
      </c>
      <c r="I422" s="73"/>
      <c r="J422" s="71"/>
      <c r="K422" s="74">
        <f t="shared" si="238"/>
        <v>0</v>
      </c>
      <c r="L422" s="71">
        <f t="shared" si="236"/>
        <v>1800</v>
      </c>
      <c r="M422" s="71">
        <f t="shared" si="239"/>
        <v>0</v>
      </c>
      <c r="N422" s="71"/>
      <c r="O422" s="71"/>
      <c r="P422" s="75">
        <f t="shared" si="240"/>
        <v>0</v>
      </c>
      <c r="Q422" s="74">
        <f t="shared" si="241"/>
        <v>0</v>
      </c>
      <c r="R422" s="74">
        <f t="shared" si="242"/>
        <v>0</v>
      </c>
      <c r="S422" s="76">
        <f t="shared" si="243"/>
        <v>0</v>
      </c>
    </row>
    <row r="423" spans="1:19" s="39" customFormat="1" ht="13.5" hidden="1" thickBot="1">
      <c r="A423" s="113"/>
      <c r="B423" s="114"/>
      <c r="C423" s="114"/>
      <c r="D423" s="114" t="s">
        <v>53</v>
      </c>
      <c r="E423" s="114"/>
      <c r="F423" s="115">
        <f>SUM(F413:F422)</f>
        <v>0</v>
      </c>
      <c r="G423" s="114"/>
      <c r="H423" s="114"/>
      <c r="I423" s="114"/>
      <c r="J423" s="114"/>
      <c r="K423" s="116"/>
      <c r="L423" s="114"/>
      <c r="M423" s="117">
        <f>SUM(M413:M422)</f>
        <v>0</v>
      </c>
      <c r="N423" s="117">
        <f>SUM(N413:N422)</f>
        <v>0</v>
      </c>
      <c r="O423" s="117">
        <f>SUM(O413:O422)</f>
        <v>0</v>
      </c>
      <c r="P423" s="114"/>
      <c r="Q423" s="115">
        <f>SUM(Q413:Q422)</f>
        <v>0</v>
      </c>
      <c r="R423" s="115">
        <f>SUM(R413:R422)</f>
        <v>0</v>
      </c>
      <c r="S423" s="143">
        <f>SUM(S413:S422)</f>
        <v>0</v>
      </c>
    </row>
    <row r="424" spans="1:19" s="39" customFormat="1" ht="12.75" hidden="1">
      <c r="A424" s="118"/>
      <c r="B424" s="92"/>
      <c r="C424" s="92"/>
      <c r="D424" s="92"/>
      <c r="E424" s="92"/>
      <c r="F424" s="93"/>
      <c r="G424" s="92"/>
      <c r="H424" s="92"/>
      <c r="I424" s="92"/>
      <c r="J424" s="92"/>
      <c r="K424" s="94"/>
      <c r="L424" s="92"/>
      <c r="M424" s="95"/>
      <c r="N424" s="95">
        <f>доходы!C35</f>
        <v>0</v>
      </c>
      <c r="O424" s="96" t="s">
        <v>116</v>
      </c>
      <c r="P424" s="119"/>
      <c r="Q424" s="120"/>
      <c r="R424" s="121"/>
      <c r="S424" s="136"/>
    </row>
    <row r="425" spans="1:19" s="39" customFormat="1" ht="12.75" hidden="1">
      <c r="A425" s="137" t="s">
        <v>139</v>
      </c>
      <c r="B425" s="138" t="str">
        <f>доходы!B36</f>
        <v>услуга 25</v>
      </c>
      <c r="C425" s="92"/>
      <c r="D425" s="92"/>
      <c r="E425" s="92"/>
      <c r="F425" s="139"/>
      <c r="G425" s="139"/>
      <c r="H425" s="139"/>
      <c r="I425" s="139"/>
      <c r="J425" s="139"/>
      <c r="K425" s="140"/>
      <c r="L425" s="139"/>
      <c r="M425" s="139"/>
      <c r="N425" s="139"/>
      <c r="O425" s="139"/>
      <c r="P425" s="139"/>
      <c r="Q425" s="139"/>
      <c r="R425" s="139"/>
      <c r="S425" s="141"/>
    </row>
    <row r="426" spans="1:19" s="39" customFormat="1" ht="13.5" hidden="1" thickBot="1">
      <c r="A426" s="142"/>
      <c r="B426" s="139"/>
      <c r="C426" s="139"/>
      <c r="D426" s="139"/>
      <c r="E426" s="139"/>
      <c r="F426" s="139"/>
      <c r="G426" s="139"/>
      <c r="H426" s="139"/>
      <c r="I426" s="139"/>
      <c r="J426" s="139"/>
      <c r="K426" s="140"/>
      <c r="L426" s="139"/>
      <c r="M426" s="139"/>
      <c r="N426" s="139"/>
      <c r="O426" s="139"/>
      <c r="P426" s="139"/>
      <c r="Q426" s="139"/>
      <c r="R426" s="139"/>
      <c r="S426" s="141"/>
    </row>
    <row r="427" spans="1:19" s="39" customFormat="1" ht="51.75" hidden="1" thickBot="1">
      <c r="A427" s="99" t="s">
        <v>1</v>
      </c>
      <c r="B427" s="99" t="s">
        <v>2</v>
      </c>
      <c r="C427" s="99" t="s">
        <v>8</v>
      </c>
      <c r="D427" s="99" t="s">
        <v>3</v>
      </c>
      <c r="E427" s="99" t="s">
        <v>4</v>
      </c>
      <c r="F427" s="99" t="s">
        <v>5</v>
      </c>
      <c r="G427" s="99" t="s">
        <v>64</v>
      </c>
      <c r="H427" s="99" t="s">
        <v>117</v>
      </c>
      <c r="I427" s="99" t="s">
        <v>99</v>
      </c>
      <c r="J427" s="99" t="s">
        <v>65</v>
      </c>
      <c r="K427" s="100" t="s">
        <v>66</v>
      </c>
      <c r="L427" s="99" t="s">
        <v>67</v>
      </c>
      <c r="M427" s="99" t="s">
        <v>6</v>
      </c>
      <c r="N427" s="99" t="s">
        <v>54</v>
      </c>
      <c r="O427" s="99" t="s">
        <v>7</v>
      </c>
      <c r="P427" s="99" t="s">
        <v>48</v>
      </c>
      <c r="Q427" s="99" t="s">
        <v>49</v>
      </c>
      <c r="R427" s="99" t="s">
        <v>50</v>
      </c>
      <c r="S427" s="99" t="s">
        <v>51</v>
      </c>
    </row>
    <row r="428" spans="1:19" s="39" customFormat="1" ht="12.75" hidden="1">
      <c r="A428" s="101">
        <v>1</v>
      </c>
      <c r="B428" s="102">
        <v>2</v>
      </c>
      <c r="C428" s="102">
        <v>3</v>
      </c>
      <c r="D428" s="102">
        <v>4</v>
      </c>
      <c r="E428" s="102">
        <v>5</v>
      </c>
      <c r="F428" s="102">
        <v>6</v>
      </c>
      <c r="G428" s="102">
        <v>7</v>
      </c>
      <c r="H428" s="102">
        <v>8</v>
      </c>
      <c r="I428" s="102">
        <v>9</v>
      </c>
      <c r="J428" s="102">
        <v>10</v>
      </c>
      <c r="K428" s="104">
        <v>11</v>
      </c>
      <c r="L428" s="102">
        <v>12</v>
      </c>
      <c r="M428" s="102">
        <v>13</v>
      </c>
      <c r="N428" s="102">
        <v>14</v>
      </c>
      <c r="O428" s="102">
        <v>15</v>
      </c>
      <c r="P428" s="102">
        <v>16</v>
      </c>
      <c r="Q428" s="102">
        <v>17</v>
      </c>
      <c r="R428" s="102">
        <v>18</v>
      </c>
      <c r="S428" s="105">
        <v>19</v>
      </c>
    </row>
    <row r="429" spans="1:19" s="39" customFormat="1" ht="12.75" hidden="1">
      <c r="A429" s="69">
        <v>1</v>
      </c>
      <c r="B429" s="70" t="s">
        <v>118</v>
      </c>
      <c r="C429" s="71" t="s">
        <v>52</v>
      </c>
      <c r="D429" s="72" t="str">
        <f>B$425</f>
        <v>услуга 25</v>
      </c>
      <c r="E429" s="71"/>
      <c r="F429" s="71">
        <f aca="true" t="shared" si="245" ref="F429:F438">ROUND(O429/18/4,2)</f>
        <v>0</v>
      </c>
      <c r="G429" s="71">
        <v>7570</v>
      </c>
      <c r="H429" s="73">
        <v>0.15</v>
      </c>
      <c r="I429" s="73">
        <v>0</v>
      </c>
      <c r="J429" s="71"/>
      <c r="K429" s="74">
        <f>(G429+G429*(H429+I429))*J429</f>
        <v>0</v>
      </c>
      <c r="L429" s="71">
        <f aca="true" t="shared" si="246" ref="L429:L438">18*25*4</f>
        <v>1800</v>
      </c>
      <c r="M429" s="71">
        <f>N429*O429</f>
        <v>0</v>
      </c>
      <c r="N429" s="71"/>
      <c r="O429" s="71"/>
      <c r="P429" s="75">
        <f>ROUND(K429/L429,2)</f>
        <v>0</v>
      </c>
      <c r="Q429" s="74">
        <f>N429*O429*P429</f>
        <v>0</v>
      </c>
      <c r="R429" s="74">
        <f>Q429*0.15</f>
        <v>0</v>
      </c>
      <c r="S429" s="76">
        <f>Q429+R429</f>
        <v>0</v>
      </c>
    </row>
    <row r="430" spans="1:19" s="39" customFormat="1" ht="12.75" hidden="1">
      <c r="A430" s="69">
        <v>2</v>
      </c>
      <c r="B430" s="70"/>
      <c r="C430" s="71" t="s">
        <v>52</v>
      </c>
      <c r="D430" s="72" t="str">
        <f aca="true" t="shared" si="247" ref="D430:D438">B$425</f>
        <v>услуга 25</v>
      </c>
      <c r="E430" s="71"/>
      <c r="F430" s="71">
        <f t="shared" si="245"/>
        <v>0</v>
      </c>
      <c r="G430" s="71">
        <v>7570</v>
      </c>
      <c r="H430" s="73">
        <f>H$24</f>
        <v>0</v>
      </c>
      <c r="I430" s="73">
        <v>0</v>
      </c>
      <c r="J430" s="71"/>
      <c r="K430" s="74">
        <f aca="true" t="shared" si="248" ref="K430:K438">(G430+G430*(H430+I430))*J430</f>
        <v>0</v>
      </c>
      <c r="L430" s="71">
        <f t="shared" si="246"/>
        <v>1800</v>
      </c>
      <c r="M430" s="71">
        <f aca="true" t="shared" si="249" ref="M430:M438">N430*O430</f>
        <v>0</v>
      </c>
      <c r="N430" s="71"/>
      <c r="O430" s="71"/>
      <c r="P430" s="75">
        <f aca="true" t="shared" si="250" ref="P430:P438">ROUND(K430/L430,2)</f>
        <v>0</v>
      </c>
      <c r="Q430" s="74">
        <f aca="true" t="shared" si="251" ref="Q430:Q438">N430*O430*P430</f>
        <v>0</v>
      </c>
      <c r="R430" s="74">
        <f aca="true" t="shared" si="252" ref="R430:R438">Q430*0.15</f>
        <v>0</v>
      </c>
      <c r="S430" s="76">
        <f aca="true" t="shared" si="253" ref="S430:S438">Q430+R430</f>
        <v>0</v>
      </c>
    </row>
    <row r="431" spans="1:19" s="39" customFormat="1" ht="12.75" hidden="1">
      <c r="A431" s="69">
        <v>3</v>
      </c>
      <c r="B431" s="70"/>
      <c r="C431" s="71" t="s">
        <v>52</v>
      </c>
      <c r="D431" s="72" t="str">
        <f t="shared" si="247"/>
        <v>услуга 25</v>
      </c>
      <c r="E431" s="71"/>
      <c r="F431" s="71">
        <f t="shared" si="245"/>
        <v>0</v>
      </c>
      <c r="G431" s="71">
        <v>7570</v>
      </c>
      <c r="H431" s="73">
        <f aca="true" t="shared" si="254" ref="H431:H438">H$24</f>
        <v>0</v>
      </c>
      <c r="I431" s="73"/>
      <c r="J431" s="71"/>
      <c r="K431" s="74">
        <f t="shared" si="248"/>
        <v>0</v>
      </c>
      <c r="L431" s="71">
        <f t="shared" si="246"/>
        <v>1800</v>
      </c>
      <c r="M431" s="71">
        <f t="shared" si="249"/>
        <v>0</v>
      </c>
      <c r="N431" s="71"/>
      <c r="O431" s="71"/>
      <c r="P431" s="75">
        <f t="shared" si="250"/>
        <v>0</v>
      </c>
      <c r="Q431" s="74">
        <f t="shared" si="251"/>
        <v>0</v>
      </c>
      <c r="R431" s="74">
        <f t="shared" si="252"/>
        <v>0</v>
      </c>
      <c r="S431" s="76">
        <f t="shared" si="253"/>
        <v>0</v>
      </c>
    </row>
    <row r="432" spans="1:19" s="39" customFormat="1" ht="12.75" hidden="1">
      <c r="A432" s="69">
        <v>4</v>
      </c>
      <c r="B432" s="70"/>
      <c r="C432" s="71" t="s">
        <v>52</v>
      </c>
      <c r="D432" s="72" t="str">
        <f t="shared" si="247"/>
        <v>услуга 25</v>
      </c>
      <c r="E432" s="71"/>
      <c r="F432" s="71">
        <f t="shared" si="245"/>
        <v>0</v>
      </c>
      <c r="G432" s="71">
        <v>7570</v>
      </c>
      <c r="H432" s="73">
        <f t="shared" si="254"/>
        <v>0</v>
      </c>
      <c r="I432" s="73"/>
      <c r="J432" s="71"/>
      <c r="K432" s="74">
        <f t="shared" si="248"/>
        <v>0</v>
      </c>
      <c r="L432" s="71">
        <f t="shared" si="246"/>
        <v>1800</v>
      </c>
      <c r="M432" s="71">
        <f t="shared" si="249"/>
        <v>0</v>
      </c>
      <c r="N432" s="71"/>
      <c r="O432" s="71"/>
      <c r="P432" s="75">
        <f t="shared" si="250"/>
        <v>0</v>
      </c>
      <c r="Q432" s="74">
        <f t="shared" si="251"/>
        <v>0</v>
      </c>
      <c r="R432" s="74">
        <f t="shared" si="252"/>
        <v>0</v>
      </c>
      <c r="S432" s="76">
        <f t="shared" si="253"/>
        <v>0</v>
      </c>
    </row>
    <row r="433" spans="1:19" s="39" customFormat="1" ht="12.75" hidden="1">
      <c r="A433" s="69">
        <v>5</v>
      </c>
      <c r="B433" s="70"/>
      <c r="C433" s="71" t="s">
        <v>52</v>
      </c>
      <c r="D433" s="72" t="str">
        <f t="shared" si="247"/>
        <v>услуга 25</v>
      </c>
      <c r="E433" s="71"/>
      <c r="F433" s="71">
        <f t="shared" si="245"/>
        <v>0</v>
      </c>
      <c r="G433" s="71">
        <v>7570</v>
      </c>
      <c r="H433" s="73">
        <f t="shared" si="254"/>
        <v>0</v>
      </c>
      <c r="I433" s="73"/>
      <c r="J433" s="71"/>
      <c r="K433" s="74">
        <f t="shared" si="248"/>
        <v>0</v>
      </c>
      <c r="L433" s="71">
        <f t="shared" si="246"/>
        <v>1800</v>
      </c>
      <c r="M433" s="71">
        <f t="shared" si="249"/>
        <v>0</v>
      </c>
      <c r="N433" s="71"/>
      <c r="O433" s="71"/>
      <c r="P433" s="75">
        <f t="shared" si="250"/>
        <v>0</v>
      </c>
      <c r="Q433" s="74">
        <f t="shared" si="251"/>
        <v>0</v>
      </c>
      <c r="R433" s="74">
        <f t="shared" si="252"/>
        <v>0</v>
      </c>
      <c r="S433" s="76">
        <f t="shared" si="253"/>
        <v>0</v>
      </c>
    </row>
    <row r="434" spans="1:19" s="39" customFormat="1" ht="12.75" hidden="1">
      <c r="A434" s="69">
        <v>6</v>
      </c>
      <c r="B434" s="70"/>
      <c r="C434" s="71" t="s">
        <v>52</v>
      </c>
      <c r="D434" s="72" t="str">
        <f t="shared" si="247"/>
        <v>услуга 25</v>
      </c>
      <c r="E434" s="71"/>
      <c r="F434" s="71">
        <f t="shared" si="245"/>
        <v>0</v>
      </c>
      <c r="G434" s="71">
        <v>7570</v>
      </c>
      <c r="H434" s="73">
        <f t="shared" si="254"/>
        <v>0</v>
      </c>
      <c r="I434" s="73"/>
      <c r="J434" s="71"/>
      <c r="K434" s="74">
        <f t="shared" si="248"/>
        <v>0</v>
      </c>
      <c r="L434" s="71">
        <f t="shared" si="246"/>
        <v>1800</v>
      </c>
      <c r="M434" s="71">
        <f t="shared" si="249"/>
        <v>0</v>
      </c>
      <c r="N434" s="71"/>
      <c r="O434" s="71"/>
      <c r="P434" s="75">
        <f t="shared" si="250"/>
        <v>0</v>
      </c>
      <c r="Q434" s="74">
        <f t="shared" si="251"/>
        <v>0</v>
      </c>
      <c r="R434" s="74">
        <f t="shared" si="252"/>
        <v>0</v>
      </c>
      <c r="S434" s="76">
        <f t="shared" si="253"/>
        <v>0</v>
      </c>
    </row>
    <row r="435" spans="1:19" s="39" customFormat="1" ht="12.75" hidden="1">
      <c r="A435" s="69">
        <v>7</v>
      </c>
      <c r="B435" s="70"/>
      <c r="C435" s="71" t="s">
        <v>52</v>
      </c>
      <c r="D435" s="72" t="str">
        <f t="shared" si="247"/>
        <v>услуга 25</v>
      </c>
      <c r="E435" s="71"/>
      <c r="F435" s="71">
        <f t="shared" si="245"/>
        <v>0</v>
      </c>
      <c r="G435" s="71">
        <v>7570</v>
      </c>
      <c r="H435" s="73">
        <f t="shared" si="254"/>
        <v>0</v>
      </c>
      <c r="I435" s="73"/>
      <c r="J435" s="71"/>
      <c r="K435" s="74">
        <f t="shared" si="248"/>
        <v>0</v>
      </c>
      <c r="L435" s="71">
        <f t="shared" si="246"/>
        <v>1800</v>
      </c>
      <c r="M435" s="71">
        <f t="shared" si="249"/>
        <v>0</v>
      </c>
      <c r="N435" s="71"/>
      <c r="O435" s="71"/>
      <c r="P435" s="75">
        <f t="shared" si="250"/>
        <v>0</v>
      </c>
      <c r="Q435" s="74">
        <f t="shared" si="251"/>
        <v>0</v>
      </c>
      <c r="R435" s="74">
        <f t="shared" si="252"/>
        <v>0</v>
      </c>
      <c r="S435" s="76">
        <f t="shared" si="253"/>
        <v>0</v>
      </c>
    </row>
    <row r="436" spans="1:19" s="39" customFormat="1" ht="12.75" hidden="1">
      <c r="A436" s="69">
        <v>8</v>
      </c>
      <c r="B436" s="70"/>
      <c r="C436" s="71" t="s">
        <v>52</v>
      </c>
      <c r="D436" s="72" t="str">
        <f t="shared" si="247"/>
        <v>услуга 25</v>
      </c>
      <c r="E436" s="71"/>
      <c r="F436" s="71">
        <f t="shared" si="245"/>
        <v>0</v>
      </c>
      <c r="G436" s="71">
        <v>7570</v>
      </c>
      <c r="H436" s="73">
        <f t="shared" si="254"/>
        <v>0</v>
      </c>
      <c r="I436" s="73"/>
      <c r="J436" s="71"/>
      <c r="K436" s="74">
        <f t="shared" si="248"/>
        <v>0</v>
      </c>
      <c r="L436" s="71">
        <f t="shared" si="246"/>
        <v>1800</v>
      </c>
      <c r="M436" s="71">
        <f t="shared" si="249"/>
        <v>0</v>
      </c>
      <c r="N436" s="71"/>
      <c r="O436" s="71"/>
      <c r="P436" s="75">
        <f t="shared" si="250"/>
        <v>0</v>
      </c>
      <c r="Q436" s="74">
        <f t="shared" si="251"/>
        <v>0</v>
      </c>
      <c r="R436" s="74">
        <f t="shared" si="252"/>
        <v>0</v>
      </c>
      <c r="S436" s="76">
        <f t="shared" si="253"/>
        <v>0</v>
      </c>
    </row>
    <row r="437" spans="1:19" s="39" customFormat="1" ht="12.75" hidden="1">
      <c r="A437" s="69">
        <v>9</v>
      </c>
      <c r="B437" s="70"/>
      <c r="C437" s="71" t="s">
        <v>52</v>
      </c>
      <c r="D437" s="72" t="str">
        <f t="shared" si="247"/>
        <v>услуга 25</v>
      </c>
      <c r="E437" s="71"/>
      <c r="F437" s="71">
        <f t="shared" si="245"/>
        <v>0</v>
      </c>
      <c r="G437" s="71">
        <v>7570</v>
      </c>
      <c r="H437" s="73">
        <f t="shared" si="254"/>
        <v>0</v>
      </c>
      <c r="I437" s="73"/>
      <c r="J437" s="71"/>
      <c r="K437" s="74">
        <f t="shared" si="248"/>
        <v>0</v>
      </c>
      <c r="L437" s="71">
        <f t="shared" si="246"/>
        <v>1800</v>
      </c>
      <c r="M437" s="71">
        <f t="shared" si="249"/>
        <v>0</v>
      </c>
      <c r="N437" s="71"/>
      <c r="O437" s="71"/>
      <c r="P437" s="75">
        <f t="shared" si="250"/>
        <v>0</v>
      </c>
      <c r="Q437" s="74">
        <f t="shared" si="251"/>
        <v>0</v>
      </c>
      <c r="R437" s="74">
        <f t="shared" si="252"/>
        <v>0</v>
      </c>
      <c r="S437" s="76">
        <f t="shared" si="253"/>
        <v>0</v>
      </c>
    </row>
    <row r="438" spans="1:19" s="39" customFormat="1" ht="12.75" hidden="1">
      <c r="A438" s="69">
        <v>10</v>
      </c>
      <c r="B438" s="70"/>
      <c r="C438" s="71" t="s">
        <v>52</v>
      </c>
      <c r="D438" s="72" t="str">
        <f t="shared" si="247"/>
        <v>услуга 25</v>
      </c>
      <c r="E438" s="71"/>
      <c r="F438" s="71">
        <f t="shared" si="245"/>
        <v>0</v>
      </c>
      <c r="G438" s="71">
        <v>7570</v>
      </c>
      <c r="H438" s="73">
        <f t="shared" si="254"/>
        <v>0</v>
      </c>
      <c r="I438" s="73"/>
      <c r="J438" s="71"/>
      <c r="K438" s="74">
        <f t="shared" si="248"/>
        <v>0</v>
      </c>
      <c r="L438" s="71">
        <f t="shared" si="246"/>
        <v>1800</v>
      </c>
      <c r="M438" s="71">
        <f t="shared" si="249"/>
        <v>0</v>
      </c>
      <c r="N438" s="71"/>
      <c r="O438" s="71"/>
      <c r="P438" s="75">
        <f t="shared" si="250"/>
        <v>0</v>
      </c>
      <c r="Q438" s="74">
        <f t="shared" si="251"/>
        <v>0</v>
      </c>
      <c r="R438" s="74">
        <f t="shared" si="252"/>
        <v>0</v>
      </c>
      <c r="S438" s="76">
        <f t="shared" si="253"/>
        <v>0</v>
      </c>
    </row>
    <row r="439" spans="1:19" s="39" customFormat="1" ht="13.5" hidden="1" thickBot="1">
      <c r="A439" s="113"/>
      <c r="B439" s="114"/>
      <c r="C439" s="114"/>
      <c r="D439" s="114" t="s">
        <v>53</v>
      </c>
      <c r="E439" s="114"/>
      <c r="F439" s="115">
        <f>SUM(F429:F438)</f>
        <v>0</v>
      </c>
      <c r="G439" s="114"/>
      <c r="H439" s="114"/>
      <c r="I439" s="114"/>
      <c r="J439" s="114"/>
      <c r="K439" s="116"/>
      <c r="L439" s="114"/>
      <c r="M439" s="117">
        <f>SUM(M429:M438)</f>
        <v>0</v>
      </c>
      <c r="N439" s="117">
        <f>SUM(N429:N438)</f>
        <v>0</v>
      </c>
      <c r="O439" s="117">
        <f>SUM(O429:O438)</f>
        <v>0</v>
      </c>
      <c r="P439" s="114"/>
      <c r="Q439" s="115">
        <f>SUM(Q429:Q438)</f>
        <v>0</v>
      </c>
      <c r="R439" s="115">
        <f>SUM(R429:R438)</f>
        <v>0</v>
      </c>
      <c r="S439" s="143">
        <f>SUM(S429:S438)</f>
        <v>0</v>
      </c>
    </row>
    <row r="440" spans="1:19" s="39" customFormat="1" ht="12.75" hidden="1">
      <c r="A440" s="118"/>
      <c r="B440" s="92"/>
      <c r="C440" s="92"/>
      <c r="D440" s="92"/>
      <c r="E440" s="92"/>
      <c r="F440" s="93"/>
      <c r="G440" s="92"/>
      <c r="H440" s="92"/>
      <c r="I440" s="92"/>
      <c r="J440" s="92"/>
      <c r="K440" s="94"/>
      <c r="L440" s="92"/>
      <c r="M440" s="95"/>
      <c r="N440" s="95">
        <f>доходы!C36</f>
        <v>0</v>
      </c>
      <c r="O440" s="96" t="s">
        <v>116</v>
      </c>
      <c r="P440" s="119"/>
      <c r="Q440" s="120"/>
      <c r="R440" s="121"/>
      <c r="S440" s="136"/>
    </row>
    <row r="441" spans="1:19" s="39" customFormat="1" ht="12.75" hidden="1">
      <c r="A441" s="137" t="s">
        <v>140</v>
      </c>
      <c r="B441" s="138" t="str">
        <f>доходы!B37</f>
        <v>услуга 26</v>
      </c>
      <c r="C441" s="92"/>
      <c r="D441" s="92"/>
      <c r="E441" s="92"/>
      <c r="F441" s="139"/>
      <c r="G441" s="139"/>
      <c r="H441" s="139"/>
      <c r="I441" s="139"/>
      <c r="J441" s="139"/>
      <c r="K441" s="140"/>
      <c r="L441" s="139"/>
      <c r="M441" s="139"/>
      <c r="N441" s="139"/>
      <c r="O441" s="139"/>
      <c r="P441" s="139"/>
      <c r="Q441" s="139"/>
      <c r="R441" s="139"/>
      <c r="S441" s="141"/>
    </row>
    <row r="442" spans="1:19" s="39" customFormat="1" ht="13.5" hidden="1" thickBot="1">
      <c r="A442" s="142"/>
      <c r="B442" s="139"/>
      <c r="C442" s="139"/>
      <c r="D442" s="139"/>
      <c r="E442" s="139"/>
      <c r="F442" s="139"/>
      <c r="G442" s="139"/>
      <c r="H442" s="139"/>
      <c r="I442" s="139"/>
      <c r="J442" s="139"/>
      <c r="K442" s="140"/>
      <c r="L442" s="139"/>
      <c r="M442" s="139"/>
      <c r="N442" s="139"/>
      <c r="O442" s="139"/>
      <c r="P442" s="139"/>
      <c r="Q442" s="139"/>
      <c r="R442" s="139"/>
      <c r="S442" s="141"/>
    </row>
    <row r="443" spans="1:19" s="39" customFormat="1" ht="51.75" hidden="1" thickBot="1">
      <c r="A443" s="99" t="s">
        <v>1</v>
      </c>
      <c r="B443" s="99" t="s">
        <v>2</v>
      </c>
      <c r="C443" s="99" t="s">
        <v>8</v>
      </c>
      <c r="D443" s="99" t="s">
        <v>3</v>
      </c>
      <c r="E443" s="99" t="s">
        <v>4</v>
      </c>
      <c r="F443" s="99" t="s">
        <v>5</v>
      </c>
      <c r="G443" s="99" t="s">
        <v>64</v>
      </c>
      <c r="H443" s="99" t="s">
        <v>117</v>
      </c>
      <c r="I443" s="99" t="s">
        <v>99</v>
      </c>
      <c r="J443" s="99" t="s">
        <v>65</v>
      </c>
      <c r="K443" s="100" t="s">
        <v>66</v>
      </c>
      <c r="L443" s="99" t="s">
        <v>67</v>
      </c>
      <c r="M443" s="99" t="s">
        <v>6</v>
      </c>
      <c r="N443" s="99" t="s">
        <v>54</v>
      </c>
      <c r="O443" s="99" t="s">
        <v>7</v>
      </c>
      <c r="P443" s="99" t="s">
        <v>48</v>
      </c>
      <c r="Q443" s="99" t="s">
        <v>49</v>
      </c>
      <c r="R443" s="99" t="s">
        <v>50</v>
      </c>
      <c r="S443" s="99" t="s">
        <v>51</v>
      </c>
    </row>
    <row r="444" spans="1:19" s="39" customFormat="1" ht="12.75" hidden="1">
      <c r="A444" s="101">
        <v>1</v>
      </c>
      <c r="B444" s="102">
        <v>2</v>
      </c>
      <c r="C444" s="102">
        <v>3</v>
      </c>
      <c r="D444" s="102">
        <v>4</v>
      </c>
      <c r="E444" s="102">
        <v>5</v>
      </c>
      <c r="F444" s="102">
        <v>6</v>
      </c>
      <c r="G444" s="102">
        <v>7</v>
      </c>
      <c r="H444" s="102">
        <v>8</v>
      </c>
      <c r="I444" s="102">
        <v>9</v>
      </c>
      <c r="J444" s="102">
        <v>10</v>
      </c>
      <c r="K444" s="104">
        <v>11</v>
      </c>
      <c r="L444" s="102">
        <v>12</v>
      </c>
      <c r="M444" s="102">
        <v>13</v>
      </c>
      <c r="N444" s="102">
        <v>14</v>
      </c>
      <c r="O444" s="102">
        <v>15</v>
      </c>
      <c r="P444" s="102">
        <v>16</v>
      </c>
      <c r="Q444" s="102">
        <v>17</v>
      </c>
      <c r="R444" s="102">
        <v>18</v>
      </c>
      <c r="S444" s="105">
        <v>19</v>
      </c>
    </row>
    <row r="445" spans="1:19" s="39" customFormat="1" ht="12.75" hidden="1">
      <c r="A445" s="69">
        <v>1</v>
      </c>
      <c r="B445" s="70" t="s">
        <v>118</v>
      </c>
      <c r="C445" s="71" t="s">
        <v>52</v>
      </c>
      <c r="D445" s="72" t="str">
        <f>B$441</f>
        <v>услуга 26</v>
      </c>
      <c r="E445" s="71"/>
      <c r="F445" s="71">
        <f aca="true" t="shared" si="255" ref="F445:F454">ROUND(O445/18/4,2)</f>
        <v>0</v>
      </c>
      <c r="G445" s="71">
        <v>7570</v>
      </c>
      <c r="H445" s="73">
        <v>0.15</v>
      </c>
      <c r="I445" s="73">
        <v>0</v>
      </c>
      <c r="J445" s="71"/>
      <c r="K445" s="74">
        <f>(G445+G445*(H445+I445))*J445</f>
        <v>0</v>
      </c>
      <c r="L445" s="71">
        <f aca="true" t="shared" si="256" ref="L445:L454">18*25*4</f>
        <v>1800</v>
      </c>
      <c r="M445" s="71">
        <f>N445*O445</f>
        <v>0</v>
      </c>
      <c r="N445" s="71"/>
      <c r="O445" s="71"/>
      <c r="P445" s="75">
        <f>ROUND(K445/L445,2)</f>
        <v>0</v>
      </c>
      <c r="Q445" s="74">
        <f>N445*O445*P445</f>
        <v>0</v>
      </c>
      <c r="R445" s="74">
        <f>Q445*0.15</f>
        <v>0</v>
      </c>
      <c r="S445" s="76">
        <f>Q445+R445</f>
        <v>0</v>
      </c>
    </row>
    <row r="446" spans="1:19" s="39" customFormat="1" ht="12.75" hidden="1">
      <c r="A446" s="69">
        <v>2</v>
      </c>
      <c r="B446" s="70"/>
      <c r="C446" s="71" t="s">
        <v>52</v>
      </c>
      <c r="D446" s="72" t="str">
        <f aca="true" t="shared" si="257" ref="D446:D454">B$441</f>
        <v>услуга 26</v>
      </c>
      <c r="E446" s="71"/>
      <c r="F446" s="71">
        <f t="shared" si="255"/>
        <v>0</v>
      </c>
      <c r="G446" s="71">
        <v>7570</v>
      </c>
      <c r="H446" s="73">
        <f>H$24</f>
        <v>0</v>
      </c>
      <c r="I446" s="73">
        <v>0</v>
      </c>
      <c r="J446" s="71"/>
      <c r="K446" s="74">
        <f aca="true" t="shared" si="258" ref="K446:K454">(G446+G446*(H446+I446))*J446</f>
        <v>0</v>
      </c>
      <c r="L446" s="71">
        <f t="shared" si="256"/>
        <v>1800</v>
      </c>
      <c r="M446" s="71">
        <f aca="true" t="shared" si="259" ref="M446:M454">N446*O446</f>
        <v>0</v>
      </c>
      <c r="N446" s="71"/>
      <c r="O446" s="71"/>
      <c r="P446" s="75">
        <f aca="true" t="shared" si="260" ref="P446:P454">ROUND(K446/L446,2)</f>
        <v>0</v>
      </c>
      <c r="Q446" s="74">
        <f aca="true" t="shared" si="261" ref="Q446:Q454">N446*O446*P446</f>
        <v>0</v>
      </c>
      <c r="R446" s="74">
        <f aca="true" t="shared" si="262" ref="R446:R454">Q446*0.15</f>
        <v>0</v>
      </c>
      <c r="S446" s="76">
        <f aca="true" t="shared" si="263" ref="S446:S454">Q446+R446</f>
        <v>0</v>
      </c>
    </row>
    <row r="447" spans="1:19" s="39" customFormat="1" ht="12.75" hidden="1">
      <c r="A447" s="69">
        <v>3</v>
      </c>
      <c r="B447" s="70"/>
      <c r="C447" s="71" t="s">
        <v>52</v>
      </c>
      <c r="D447" s="72" t="str">
        <f t="shared" si="257"/>
        <v>услуга 26</v>
      </c>
      <c r="E447" s="71"/>
      <c r="F447" s="71">
        <f t="shared" si="255"/>
        <v>0</v>
      </c>
      <c r="G447" s="71">
        <v>7570</v>
      </c>
      <c r="H447" s="73">
        <f aca="true" t="shared" si="264" ref="H447:H454">H$24</f>
        <v>0</v>
      </c>
      <c r="I447" s="73"/>
      <c r="J447" s="71"/>
      <c r="K447" s="74">
        <f t="shared" si="258"/>
        <v>0</v>
      </c>
      <c r="L447" s="71">
        <f t="shared" si="256"/>
        <v>1800</v>
      </c>
      <c r="M447" s="71">
        <f t="shared" si="259"/>
        <v>0</v>
      </c>
      <c r="N447" s="71"/>
      <c r="O447" s="71"/>
      <c r="P447" s="75">
        <f t="shared" si="260"/>
        <v>0</v>
      </c>
      <c r="Q447" s="74">
        <f t="shared" si="261"/>
        <v>0</v>
      </c>
      <c r="R447" s="74">
        <f t="shared" si="262"/>
        <v>0</v>
      </c>
      <c r="S447" s="76">
        <f t="shared" si="263"/>
        <v>0</v>
      </c>
    </row>
    <row r="448" spans="1:19" s="39" customFormat="1" ht="12.75" hidden="1">
      <c r="A448" s="69">
        <v>4</v>
      </c>
      <c r="B448" s="70"/>
      <c r="C448" s="71" t="s">
        <v>52</v>
      </c>
      <c r="D448" s="72" t="str">
        <f t="shared" si="257"/>
        <v>услуга 26</v>
      </c>
      <c r="E448" s="71"/>
      <c r="F448" s="71">
        <f t="shared" si="255"/>
        <v>0</v>
      </c>
      <c r="G448" s="71">
        <v>7570</v>
      </c>
      <c r="H448" s="73">
        <f t="shared" si="264"/>
        <v>0</v>
      </c>
      <c r="I448" s="73"/>
      <c r="J448" s="71"/>
      <c r="K448" s="74">
        <f t="shared" si="258"/>
        <v>0</v>
      </c>
      <c r="L448" s="71">
        <f t="shared" si="256"/>
        <v>1800</v>
      </c>
      <c r="M448" s="71">
        <f t="shared" si="259"/>
        <v>0</v>
      </c>
      <c r="N448" s="71"/>
      <c r="O448" s="71"/>
      <c r="P448" s="75">
        <f t="shared" si="260"/>
        <v>0</v>
      </c>
      <c r="Q448" s="74">
        <f t="shared" si="261"/>
        <v>0</v>
      </c>
      <c r="R448" s="74">
        <f t="shared" si="262"/>
        <v>0</v>
      </c>
      <c r="S448" s="76">
        <f t="shared" si="263"/>
        <v>0</v>
      </c>
    </row>
    <row r="449" spans="1:19" s="39" customFormat="1" ht="12.75" hidden="1">
      <c r="A449" s="69">
        <v>5</v>
      </c>
      <c r="B449" s="70"/>
      <c r="C449" s="71" t="s">
        <v>52</v>
      </c>
      <c r="D449" s="72" t="str">
        <f t="shared" si="257"/>
        <v>услуга 26</v>
      </c>
      <c r="E449" s="71"/>
      <c r="F449" s="71">
        <f t="shared" si="255"/>
        <v>0</v>
      </c>
      <c r="G449" s="71">
        <v>7570</v>
      </c>
      <c r="H449" s="73">
        <f t="shared" si="264"/>
        <v>0</v>
      </c>
      <c r="I449" s="73"/>
      <c r="J449" s="71"/>
      <c r="K449" s="74">
        <f t="shared" si="258"/>
        <v>0</v>
      </c>
      <c r="L449" s="71">
        <f t="shared" si="256"/>
        <v>1800</v>
      </c>
      <c r="M449" s="71">
        <f t="shared" si="259"/>
        <v>0</v>
      </c>
      <c r="N449" s="71"/>
      <c r="O449" s="71"/>
      <c r="P449" s="75">
        <f t="shared" si="260"/>
        <v>0</v>
      </c>
      <c r="Q449" s="74">
        <f t="shared" si="261"/>
        <v>0</v>
      </c>
      <c r="R449" s="74">
        <f t="shared" si="262"/>
        <v>0</v>
      </c>
      <c r="S449" s="76">
        <f t="shared" si="263"/>
        <v>0</v>
      </c>
    </row>
    <row r="450" spans="1:19" s="39" customFormat="1" ht="12.75" hidden="1">
      <c r="A450" s="69">
        <v>6</v>
      </c>
      <c r="B450" s="70"/>
      <c r="C450" s="71" t="s">
        <v>52</v>
      </c>
      <c r="D450" s="72" t="str">
        <f t="shared" si="257"/>
        <v>услуга 26</v>
      </c>
      <c r="E450" s="71"/>
      <c r="F450" s="71">
        <f t="shared" si="255"/>
        <v>0</v>
      </c>
      <c r="G450" s="71">
        <v>7570</v>
      </c>
      <c r="H450" s="73">
        <f t="shared" si="264"/>
        <v>0</v>
      </c>
      <c r="I450" s="73"/>
      <c r="J450" s="71"/>
      <c r="K450" s="74">
        <f t="shared" si="258"/>
        <v>0</v>
      </c>
      <c r="L450" s="71">
        <f t="shared" si="256"/>
        <v>1800</v>
      </c>
      <c r="M450" s="71">
        <f t="shared" si="259"/>
        <v>0</v>
      </c>
      <c r="N450" s="71"/>
      <c r="O450" s="71"/>
      <c r="P450" s="75">
        <f t="shared" si="260"/>
        <v>0</v>
      </c>
      <c r="Q450" s="74">
        <f t="shared" si="261"/>
        <v>0</v>
      </c>
      <c r="R450" s="74">
        <f t="shared" si="262"/>
        <v>0</v>
      </c>
      <c r="S450" s="76">
        <f t="shared" si="263"/>
        <v>0</v>
      </c>
    </row>
    <row r="451" spans="1:19" s="39" customFormat="1" ht="12.75" hidden="1">
      <c r="A451" s="69">
        <v>7</v>
      </c>
      <c r="B451" s="70"/>
      <c r="C451" s="71" t="s">
        <v>52</v>
      </c>
      <c r="D451" s="72" t="str">
        <f t="shared" si="257"/>
        <v>услуга 26</v>
      </c>
      <c r="E451" s="71"/>
      <c r="F451" s="71">
        <f t="shared" si="255"/>
        <v>0</v>
      </c>
      <c r="G451" s="71">
        <v>7570</v>
      </c>
      <c r="H451" s="73">
        <f t="shared" si="264"/>
        <v>0</v>
      </c>
      <c r="I451" s="73"/>
      <c r="J451" s="71"/>
      <c r="K451" s="74">
        <f t="shared" si="258"/>
        <v>0</v>
      </c>
      <c r="L451" s="71">
        <f t="shared" si="256"/>
        <v>1800</v>
      </c>
      <c r="M451" s="71">
        <f t="shared" si="259"/>
        <v>0</v>
      </c>
      <c r="N451" s="71"/>
      <c r="O451" s="71"/>
      <c r="P451" s="75">
        <f t="shared" si="260"/>
        <v>0</v>
      </c>
      <c r="Q451" s="74">
        <f t="shared" si="261"/>
        <v>0</v>
      </c>
      <c r="R451" s="74">
        <f t="shared" si="262"/>
        <v>0</v>
      </c>
      <c r="S451" s="76">
        <f t="shared" si="263"/>
        <v>0</v>
      </c>
    </row>
    <row r="452" spans="1:19" s="39" customFormat="1" ht="12.75" hidden="1">
      <c r="A452" s="69">
        <v>8</v>
      </c>
      <c r="B452" s="70"/>
      <c r="C452" s="71" t="s">
        <v>52</v>
      </c>
      <c r="D452" s="72" t="str">
        <f t="shared" si="257"/>
        <v>услуга 26</v>
      </c>
      <c r="E452" s="71"/>
      <c r="F452" s="71">
        <f t="shared" si="255"/>
        <v>0</v>
      </c>
      <c r="G452" s="71">
        <v>7570</v>
      </c>
      <c r="H452" s="73">
        <f t="shared" si="264"/>
        <v>0</v>
      </c>
      <c r="I452" s="73"/>
      <c r="J452" s="71"/>
      <c r="K452" s="74">
        <f t="shared" si="258"/>
        <v>0</v>
      </c>
      <c r="L452" s="71">
        <f t="shared" si="256"/>
        <v>1800</v>
      </c>
      <c r="M452" s="71">
        <f t="shared" si="259"/>
        <v>0</v>
      </c>
      <c r="N452" s="71"/>
      <c r="O452" s="71"/>
      <c r="P452" s="75">
        <f t="shared" si="260"/>
        <v>0</v>
      </c>
      <c r="Q452" s="74">
        <f t="shared" si="261"/>
        <v>0</v>
      </c>
      <c r="R452" s="74">
        <f t="shared" si="262"/>
        <v>0</v>
      </c>
      <c r="S452" s="76">
        <f t="shared" si="263"/>
        <v>0</v>
      </c>
    </row>
    <row r="453" spans="1:19" s="39" customFormat="1" ht="12.75" hidden="1">
      <c r="A453" s="69">
        <v>9</v>
      </c>
      <c r="B453" s="70"/>
      <c r="C453" s="71" t="s">
        <v>52</v>
      </c>
      <c r="D453" s="72" t="str">
        <f t="shared" si="257"/>
        <v>услуга 26</v>
      </c>
      <c r="E453" s="71"/>
      <c r="F453" s="71">
        <f t="shared" si="255"/>
        <v>0</v>
      </c>
      <c r="G453" s="71">
        <v>7570</v>
      </c>
      <c r="H453" s="73">
        <f t="shared" si="264"/>
        <v>0</v>
      </c>
      <c r="I453" s="73"/>
      <c r="J453" s="71"/>
      <c r="K453" s="74">
        <f t="shared" si="258"/>
        <v>0</v>
      </c>
      <c r="L453" s="71">
        <f t="shared" si="256"/>
        <v>1800</v>
      </c>
      <c r="M453" s="71">
        <f t="shared" si="259"/>
        <v>0</v>
      </c>
      <c r="N453" s="71"/>
      <c r="O453" s="71"/>
      <c r="P453" s="75">
        <f t="shared" si="260"/>
        <v>0</v>
      </c>
      <c r="Q453" s="74">
        <f t="shared" si="261"/>
        <v>0</v>
      </c>
      <c r="R453" s="74">
        <f t="shared" si="262"/>
        <v>0</v>
      </c>
      <c r="S453" s="76">
        <f t="shared" si="263"/>
        <v>0</v>
      </c>
    </row>
    <row r="454" spans="1:19" s="39" customFormat="1" ht="12.75" hidden="1">
      <c r="A454" s="69">
        <v>10</v>
      </c>
      <c r="B454" s="70"/>
      <c r="C454" s="71" t="s">
        <v>52</v>
      </c>
      <c r="D454" s="72" t="str">
        <f t="shared" si="257"/>
        <v>услуга 26</v>
      </c>
      <c r="E454" s="71"/>
      <c r="F454" s="71">
        <f t="shared" si="255"/>
        <v>0</v>
      </c>
      <c r="G454" s="71">
        <v>7570</v>
      </c>
      <c r="H454" s="73">
        <f t="shared" si="264"/>
        <v>0</v>
      </c>
      <c r="I454" s="73"/>
      <c r="J454" s="71"/>
      <c r="K454" s="74">
        <f t="shared" si="258"/>
        <v>0</v>
      </c>
      <c r="L454" s="71">
        <f t="shared" si="256"/>
        <v>1800</v>
      </c>
      <c r="M454" s="71">
        <f t="shared" si="259"/>
        <v>0</v>
      </c>
      <c r="N454" s="71"/>
      <c r="O454" s="71"/>
      <c r="P454" s="75">
        <f t="shared" si="260"/>
        <v>0</v>
      </c>
      <c r="Q454" s="74">
        <f t="shared" si="261"/>
        <v>0</v>
      </c>
      <c r="R454" s="74">
        <f t="shared" si="262"/>
        <v>0</v>
      </c>
      <c r="S454" s="76">
        <f t="shared" si="263"/>
        <v>0</v>
      </c>
    </row>
    <row r="455" spans="1:19" s="39" customFormat="1" ht="13.5" hidden="1" thickBot="1">
      <c r="A455" s="113"/>
      <c r="B455" s="114"/>
      <c r="C455" s="114"/>
      <c r="D455" s="114" t="s">
        <v>53</v>
      </c>
      <c r="E455" s="114"/>
      <c r="F455" s="115">
        <f>SUM(F445:F454)</f>
        <v>0</v>
      </c>
      <c r="G455" s="114"/>
      <c r="H455" s="114"/>
      <c r="I455" s="114"/>
      <c r="J455" s="114"/>
      <c r="K455" s="116"/>
      <c r="L455" s="114"/>
      <c r="M455" s="117">
        <f>SUM(M445:M454)</f>
        <v>0</v>
      </c>
      <c r="N455" s="117">
        <f>SUM(N445:N454)</f>
        <v>0</v>
      </c>
      <c r="O455" s="117">
        <f>SUM(O445:O454)</f>
        <v>0</v>
      </c>
      <c r="P455" s="114"/>
      <c r="Q455" s="115">
        <f>SUM(Q445:Q454)</f>
        <v>0</v>
      </c>
      <c r="R455" s="115">
        <f>SUM(R445:R454)</f>
        <v>0</v>
      </c>
      <c r="S455" s="143">
        <f>SUM(S445:S454)</f>
        <v>0</v>
      </c>
    </row>
    <row r="456" spans="1:19" s="39" customFormat="1" ht="13.5" hidden="1" thickBot="1">
      <c r="A456" s="118"/>
      <c r="B456" s="92"/>
      <c r="C456" s="92"/>
      <c r="D456" s="92"/>
      <c r="E456" s="92"/>
      <c r="F456" s="93"/>
      <c r="G456" s="92"/>
      <c r="H456" s="92"/>
      <c r="I456" s="92"/>
      <c r="J456" s="92"/>
      <c r="K456" s="94"/>
      <c r="L456" s="92"/>
      <c r="M456" s="95"/>
      <c r="N456" s="95">
        <f>доходы!C37</f>
        <v>0</v>
      </c>
      <c r="O456" s="96" t="s">
        <v>116</v>
      </c>
      <c r="P456" s="119"/>
      <c r="Q456" s="120"/>
      <c r="R456" s="121"/>
      <c r="S456" s="136"/>
    </row>
    <row r="457" spans="1:20" s="39" customFormat="1" ht="13.5" thickBot="1">
      <c r="A457" s="535" t="s">
        <v>262</v>
      </c>
      <c r="B457" s="536"/>
      <c r="C457" s="536"/>
      <c r="D457" s="536"/>
      <c r="E457" s="536"/>
      <c r="F457" s="536"/>
      <c r="G457" s="536"/>
      <c r="H457" s="536"/>
      <c r="I457" s="536"/>
      <c r="J457" s="536"/>
      <c r="K457" s="536"/>
      <c r="L457" s="536"/>
      <c r="M457" s="536"/>
      <c r="N457" s="536"/>
      <c r="O457" s="536"/>
      <c r="P457" s="537"/>
      <c r="Q457" s="88">
        <f>Q34+Q50+Q66+Q82+Q119+Q135+Q151+Q167+Q183+Q199+Q215+Q231+Q247+Q263+Q279+Q295+Q311+Q327+Q343+Q359+Q375+Q391+Q407+Q423+Q439+Q455+Q88+Q94+Q102</f>
        <v>41273.76</v>
      </c>
      <c r="R457" s="88">
        <f>R34+R50+R66+R82+R119+R135+R151+R167+R183+R199+R215+R231+R247+R263+R279+R295+R311+R327+R343+R359+R375+R391+R407+R423+R439+R455+R88+R94+R102</f>
        <v>6191.06</v>
      </c>
      <c r="S457" s="88">
        <f>S34+S50+S66+S82+S119+S135+S151+S167+S183+S199+S215+S231+S247+S263+S279+S295+S311+S327+S343+S359+S375+S391+S407+S423+S439+S455+S88+S94+S102</f>
        <v>47464.82</v>
      </c>
      <c r="T457" s="42">
        <f>S34+S50+S66+S82+S119+S135</f>
        <v>36873.6</v>
      </c>
    </row>
    <row r="458" spans="1:21" s="39" customFormat="1" ht="13.5" thickBot="1">
      <c r="A458" s="538" t="s">
        <v>263</v>
      </c>
      <c r="B458" s="539"/>
      <c r="C458" s="539"/>
      <c r="D458" s="539"/>
      <c r="E458" s="539"/>
      <c r="F458" s="539"/>
      <c r="G458" s="539"/>
      <c r="H458" s="539"/>
      <c r="I458" s="539"/>
      <c r="J458" s="539"/>
      <c r="K458" s="539"/>
      <c r="L458" s="539"/>
      <c r="M458" s="539"/>
      <c r="N458" s="539"/>
      <c r="O458" s="539"/>
      <c r="P458" s="540"/>
      <c r="Q458" s="116"/>
      <c r="R458" s="116"/>
      <c r="S458" s="145">
        <f>S457*1.302</f>
        <v>61799.2</v>
      </c>
      <c r="U458" s="42"/>
    </row>
    <row r="460" spans="1:19" ht="12.75">
      <c r="A460" s="534" t="s">
        <v>55</v>
      </c>
      <c r="B460" s="534"/>
      <c r="C460" s="534"/>
      <c r="D460" s="534"/>
      <c r="E460" s="534"/>
      <c r="F460" s="534"/>
      <c r="G460" s="534"/>
      <c r="H460" s="534"/>
      <c r="I460" s="534"/>
      <c r="J460" s="534"/>
      <c r="K460" s="534"/>
      <c r="L460" s="534"/>
      <c r="M460" s="534"/>
      <c r="N460" s="534"/>
      <c r="O460" s="534"/>
      <c r="P460" s="534"/>
      <c r="Q460" s="534"/>
      <c r="R460" s="534"/>
      <c r="S460" s="534"/>
    </row>
    <row r="461" spans="1:19" ht="12.75">
      <c r="A461" s="534" t="s">
        <v>209</v>
      </c>
      <c r="B461" s="534"/>
      <c r="C461" s="534"/>
      <c r="D461" s="534"/>
      <c r="E461" s="534"/>
      <c r="F461" s="534"/>
      <c r="G461" s="534"/>
      <c r="H461" s="534"/>
      <c r="I461" s="534"/>
      <c r="J461" s="534"/>
      <c r="K461" s="534"/>
      <c r="L461" s="534"/>
      <c r="M461" s="534"/>
      <c r="N461" s="534"/>
      <c r="O461" s="534"/>
      <c r="P461" s="534"/>
      <c r="Q461" s="534"/>
      <c r="R461" s="534"/>
      <c r="S461" s="534"/>
    </row>
    <row r="462" spans="1:19" ht="13.5" thickBo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52"/>
      <c r="L462" s="39"/>
      <c r="M462" s="39"/>
      <c r="N462" s="39"/>
      <c r="O462" s="39"/>
      <c r="P462" s="39"/>
      <c r="Q462" s="39"/>
      <c r="R462" s="39"/>
      <c r="S462" s="39"/>
    </row>
    <row r="463" spans="1:19" s="39" customFormat="1" ht="53.25" customHeight="1" thickBot="1">
      <c r="A463" s="54" t="s">
        <v>1</v>
      </c>
      <c r="B463" s="54" t="s">
        <v>2</v>
      </c>
      <c r="C463" s="54" t="s">
        <v>8</v>
      </c>
      <c r="D463" s="54" t="s">
        <v>3</v>
      </c>
      <c r="E463" s="54" t="s">
        <v>214</v>
      </c>
      <c r="F463" s="54" t="s">
        <v>215</v>
      </c>
      <c r="G463" s="54" t="s">
        <v>216</v>
      </c>
      <c r="H463" s="54"/>
      <c r="I463" s="54"/>
      <c r="J463" s="54" t="s">
        <v>213</v>
      </c>
      <c r="K463" s="55" t="s">
        <v>66</v>
      </c>
      <c r="L463" s="54" t="s">
        <v>67</v>
      </c>
      <c r="M463" s="54" t="s">
        <v>6</v>
      </c>
      <c r="N463" s="54" t="s">
        <v>54</v>
      </c>
      <c r="O463" s="54" t="s">
        <v>7</v>
      </c>
      <c r="P463" s="54" t="s">
        <v>48</v>
      </c>
      <c r="Q463" s="54" t="s">
        <v>49</v>
      </c>
      <c r="R463" s="54" t="s">
        <v>50</v>
      </c>
      <c r="S463" s="54" t="s">
        <v>51</v>
      </c>
    </row>
    <row r="464" spans="1:19" s="39" customFormat="1" ht="13.5" thickBot="1">
      <c r="A464" s="56">
        <v>1</v>
      </c>
      <c r="B464" s="57">
        <v>2</v>
      </c>
      <c r="C464" s="57">
        <v>3</v>
      </c>
      <c r="D464" s="57">
        <v>4</v>
      </c>
      <c r="E464" s="57">
        <v>5</v>
      </c>
      <c r="F464" s="57">
        <v>6</v>
      </c>
      <c r="G464" s="57">
        <v>7</v>
      </c>
      <c r="H464" s="57"/>
      <c r="I464" s="57"/>
      <c r="J464" s="57">
        <v>8</v>
      </c>
      <c r="K464" s="58">
        <v>9</v>
      </c>
      <c r="L464" s="57">
        <v>10</v>
      </c>
      <c r="M464" s="57">
        <v>11</v>
      </c>
      <c r="N464" s="57">
        <v>12</v>
      </c>
      <c r="O464" s="57">
        <v>13</v>
      </c>
      <c r="P464" s="57">
        <v>14</v>
      </c>
      <c r="Q464" s="57">
        <v>15</v>
      </c>
      <c r="R464" s="57">
        <v>16</v>
      </c>
      <c r="S464" s="59">
        <v>17</v>
      </c>
    </row>
    <row r="465" spans="1:19" s="68" customFormat="1" ht="39" thickTop="1">
      <c r="A465" s="60">
        <v>1</v>
      </c>
      <c r="B465" s="63" t="s">
        <v>244</v>
      </c>
      <c r="C465" s="107" t="s">
        <v>181</v>
      </c>
      <c r="D465" s="106" t="s">
        <v>9</v>
      </c>
      <c r="E465" s="63">
        <v>1</v>
      </c>
      <c r="F465" s="63">
        <v>7500</v>
      </c>
      <c r="G465" s="110">
        <f>E465*F465</f>
        <v>7500</v>
      </c>
      <c r="H465" s="65"/>
      <c r="I465" s="65"/>
      <c r="J465" s="63"/>
      <c r="K465" s="65"/>
      <c r="L465" s="63"/>
      <c r="M465" s="63"/>
      <c r="N465" s="63"/>
      <c r="O465" s="63"/>
      <c r="P465" s="63"/>
      <c r="Q465" s="110">
        <f>G465</f>
        <v>7500</v>
      </c>
      <c r="R465" s="65">
        <f>Q465*0.15</f>
        <v>1125</v>
      </c>
      <c r="S465" s="67">
        <f>Q465+R465</f>
        <v>8625</v>
      </c>
    </row>
    <row r="466" spans="1:19" s="68" customFormat="1" ht="42" customHeight="1" hidden="1">
      <c r="A466" s="146">
        <v>2</v>
      </c>
      <c r="B466" s="106"/>
      <c r="C466" s="107"/>
      <c r="D466" s="106"/>
      <c r="E466" s="106"/>
      <c r="F466" s="106"/>
      <c r="G466" s="110"/>
      <c r="H466" s="110"/>
      <c r="I466" s="110"/>
      <c r="J466" s="106"/>
      <c r="K466" s="110"/>
      <c r="L466" s="106"/>
      <c r="M466" s="106"/>
      <c r="N466" s="106"/>
      <c r="O466" s="106"/>
      <c r="P466" s="106"/>
      <c r="Q466" s="110">
        <f>G466</f>
        <v>0</v>
      </c>
      <c r="R466" s="110">
        <f>Q466*0.15</f>
        <v>0</v>
      </c>
      <c r="S466" s="147">
        <f>Q466+R466</f>
        <v>0</v>
      </c>
    </row>
    <row r="467" spans="1:19" ht="12.75" hidden="1">
      <c r="A467" s="69">
        <v>3</v>
      </c>
      <c r="B467" s="71"/>
      <c r="C467" s="71"/>
      <c r="D467" s="71"/>
      <c r="E467" s="71"/>
      <c r="F467" s="71"/>
      <c r="G467" s="74"/>
      <c r="H467" s="74"/>
      <c r="I467" s="74"/>
      <c r="J467" s="71"/>
      <c r="K467" s="74"/>
      <c r="L467" s="71"/>
      <c r="M467" s="71"/>
      <c r="N467" s="71"/>
      <c r="O467" s="71"/>
      <c r="P467" s="71"/>
      <c r="Q467" s="74">
        <f>G467</f>
        <v>0</v>
      </c>
      <c r="R467" s="74">
        <f>Q467*0.15</f>
        <v>0</v>
      </c>
      <c r="S467" s="76">
        <f>Q467+R467</f>
        <v>0</v>
      </c>
    </row>
    <row r="468" spans="1:19" ht="12.75" hidden="1">
      <c r="A468" s="69">
        <v>4</v>
      </c>
      <c r="B468" s="71"/>
      <c r="C468" s="71" t="s">
        <v>142</v>
      </c>
      <c r="D468" s="71" t="s">
        <v>9</v>
      </c>
      <c r="E468" s="71"/>
      <c r="F468" s="71"/>
      <c r="G468" s="74"/>
      <c r="H468" s="74"/>
      <c r="I468" s="74"/>
      <c r="J468" s="71"/>
      <c r="K468" s="74"/>
      <c r="L468" s="71"/>
      <c r="M468" s="71"/>
      <c r="N468" s="71"/>
      <c r="O468" s="71"/>
      <c r="P468" s="71"/>
      <c r="Q468" s="74">
        <f aca="true" t="shared" si="265" ref="Q468:Q474">G468</f>
        <v>0</v>
      </c>
      <c r="R468" s="74">
        <f aca="true" t="shared" si="266" ref="R468:R474">Q468*0.15</f>
        <v>0</v>
      </c>
      <c r="S468" s="76">
        <f aca="true" t="shared" si="267" ref="S468:S474">Q468+R468</f>
        <v>0</v>
      </c>
    </row>
    <row r="469" spans="1:19" ht="12.75" hidden="1">
      <c r="A469" s="69">
        <v>5</v>
      </c>
      <c r="B469" s="71"/>
      <c r="C469" s="71" t="s">
        <v>143</v>
      </c>
      <c r="D469" s="71" t="s">
        <v>9</v>
      </c>
      <c r="E469" s="71"/>
      <c r="F469" s="71"/>
      <c r="G469" s="74"/>
      <c r="H469" s="74"/>
      <c r="I469" s="74"/>
      <c r="J469" s="71"/>
      <c r="K469" s="74"/>
      <c r="L469" s="71"/>
      <c r="M469" s="71"/>
      <c r="N469" s="71"/>
      <c r="O469" s="71"/>
      <c r="P469" s="71"/>
      <c r="Q469" s="74">
        <f t="shared" si="265"/>
        <v>0</v>
      </c>
      <c r="R469" s="74">
        <f t="shared" si="266"/>
        <v>0</v>
      </c>
      <c r="S469" s="76">
        <f t="shared" si="267"/>
        <v>0</v>
      </c>
    </row>
    <row r="470" spans="1:19" ht="12.75" hidden="1">
      <c r="A470" s="69">
        <v>6</v>
      </c>
      <c r="B470" s="71"/>
      <c r="C470" s="71" t="s">
        <v>144</v>
      </c>
      <c r="D470" s="71" t="s">
        <v>9</v>
      </c>
      <c r="E470" s="71"/>
      <c r="F470" s="71"/>
      <c r="G470" s="74"/>
      <c r="H470" s="74"/>
      <c r="I470" s="74"/>
      <c r="J470" s="71"/>
      <c r="K470" s="74"/>
      <c r="L470" s="71"/>
      <c r="M470" s="71"/>
      <c r="N470" s="71"/>
      <c r="O470" s="71"/>
      <c r="P470" s="71"/>
      <c r="Q470" s="74">
        <f t="shared" si="265"/>
        <v>0</v>
      </c>
      <c r="R470" s="74">
        <f t="shared" si="266"/>
        <v>0</v>
      </c>
      <c r="S470" s="76">
        <f t="shared" si="267"/>
        <v>0</v>
      </c>
    </row>
    <row r="471" spans="1:19" ht="12.75" hidden="1">
      <c r="A471" s="69">
        <v>7</v>
      </c>
      <c r="B471" s="71"/>
      <c r="C471" s="71" t="s">
        <v>145</v>
      </c>
      <c r="D471" s="71" t="s">
        <v>9</v>
      </c>
      <c r="E471" s="71"/>
      <c r="F471" s="71"/>
      <c r="G471" s="74"/>
      <c r="H471" s="74"/>
      <c r="I471" s="74"/>
      <c r="J471" s="71"/>
      <c r="K471" s="74"/>
      <c r="L471" s="71"/>
      <c r="M471" s="71"/>
      <c r="N471" s="71"/>
      <c r="O471" s="71"/>
      <c r="P471" s="71"/>
      <c r="Q471" s="74">
        <f t="shared" si="265"/>
        <v>0</v>
      </c>
      <c r="R471" s="74">
        <f t="shared" si="266"/>
        <v>0</v>
      </c>
      <c r="S471" s="76">
        <f t="shared" si="267"/>
        <v>0</v>
      </c>
    </row>
    <row r="472" spans="1:19" ht="12.75" hidden="1">
      <c r="A472" s="69">
        <v>8</v>
      </c>
      <c r="B472" s="71"/>
      <c r="C472" s="71" t="s">
        <v>146</v>
      </c>
      <c r="D472" s="71" t="s">
        <v>9</v>
      </c>
      <c r="E472" s="71"/>
      <c r="F472" s="71"/>
      <c r="G472" s="74"/>
      <c r="H472" s="74"/>
      <c r="I472" s="74"/>
      <c r="J472" s="71"/>
      <c r="K472" s="74"/>
      <c r="L472" s="71"/>
      <c r="M472" s="71"/>
      <c r="N472" s="71"/>
      <c r="O472" s="71"/>
      <c r="P472" s="71"/>
      <c r="Q472" s="74">
        <f t="shared" si="265"/>
        <v>0</v>
      </c>
      <c r="R472" s="74">
        <f t="shared" si="266"/>
        <v>0</v>
      </c>
      <c r="S472" s="76">
        <f t="shared" si="267"/>
        <v>0</v>
      </c>
    </row>
    <row r="473" spans="1:19" ht="12.75" hidden="1">
      <c r="A473" s="69">
        <v>9</v>
      </c>
      <c r="B473" s="71"/>
      <c r="C473" s="71" t="s">
        <v>147</v>
      </c>
      <c r="D473" s="71" t="s">
        <v>9</v>
      </c>
      <c r="E473" s="71"/>
      <c r="F473" s="71"/>
      <c r="G473" s="74"/>
      <c r="H473" s="74"/>
      <c r="I473" s="74"/>
      <c r="J473" s="71"/>
      <c r="K473" s="74"/>
      <c r="L473" s="71"/>
      <c r="M473" s="71"/>
      <c r="N473" s="71"/>
      <c r="O473" s="71"/>
      <c r="P473" s="71"/>
      <c r="Q473" s="74">
        <f t="shared" si="265"/>
        <v>0</v>
      </c>
      <c r="R473" s="74">
        <f t="shared" si="266"/>
        <v>0</v>
      </c>
      <c r="S473" s="76">
        <f t="shared" si="267"/>
        <v>0</v>
      </c>
    </row>
    <row r="474" spans="1:19" ht="12.75" hidden="1">
      <c r="A474" s="69">
        <v>10</v>
      </c>
      <c r="B474" s="71"/>
      <c r="C474" s="71" t="s">
        <v>148</v>
      </c>
      <c r="D474" s="71" t="s">
        <v>9</v>
      </c>
      <c r="E474" s="71"/>
      <c r="F474" s="71"/>
      <c r="G474" s="74"/>
      <c r="H474" s="74"/>
      <c r="I474" s="74"/>
      <c r="J474" s="71"/>
      <c r="K474" s="74"/>
      <c r="L474" s="71"/>
      <c r="M474" s="71"/>
      <c r="N474" s="71"/>
      <c r="O474" s="71"/>
      <c r="P474" s="71"/>
      <c r="Q474" s="74">
        <f t="shared" si="265"/>
        <v>0</v>
      </c>
      <c r="R474" s="74">
        <f t="shared" si="266"/>
        <v>0</v>
      </c>
      <c r="S474" s="76">
        <f t="shared" si="267"/>
        <v>0</v>
      </c>
    </row>
    <row r="475" spans="1:19" s="39" customFormat="1" ht="13.5" thickBot="1">
      <c r="A475" s="113"/>
      <c r="B475" s="114"/>
      <c r="C475" s="114"/>
      <c r="D475" s="114" t="s">
        <v>53</v>
      </c>
      <c r="E475" s="114"/>
      <c r="F475" s="114">
        <f>SUM(F465:F474)</f>
        <v>7500</v>
      </c>
      <c r="G475" s="116">
        <f>SUM(G465:G474)</f>
        <v>7500</v>
      </c>
      <c r="H475" s="114"/>
      <c r="I475" s="114"/>
      <c r="J475" s="114"/>
      <c r="K475" s="116"/>
      <c r="L475" s="114"/>
      <c r="M475" s="114"/>
      <c r="N475" s="114"/>
      <c r="O475" s="114"/>
      <c r="P475" s="114"/>
      <c r="Q475" s="116">
        <f>SUM(Q465:Q474)</f>
        <v>7500</v>
      </c>
      <c r="R475" s="116">
        <f>SUM(R465:R474)</f>
        <v>1125</v>
      </c>
      <c r="S475" s="145">
        <f>SUM(S465:S474)</f>
        <v>8625</v>
      </c>
    </row>
    <row r="476" spans="1:19" ht="13.5" thickBot="1">
      <c r="A476" s="142"/>
      <c r="B476" s="139"/>
      <c r="C476" s="139"/>
      <c r="D476" s="139"/>
      <c r="E476" s="139"/>
      <c r="F476" s="139"/>
      <c r="G476" s="139"/>
      <c r="H476" s="139"/>
      <c r="I476" s="139"/>
      <c r="J476" s="139"/>
      <c r="K476" s="140"/>
      <c r="L476" s="139"/>
      <c r="M476" s="139"/>
      <c r="N476" s="139"/>
      <c r="O476" s="139"/>
      <c r="P476" s="139"/>
      <c r="Q476" s="140"/>
      <c r="R476" s="140"/>
      <c r="S476" s="148"/>
    </row>
    <row r="477" spans="1:19" s="39" customFormat="1" ht="13.5" thickBot="1">
      <c r="A477" s="535" t="s">
        <v>264</v>
      </c>
      <c r="B477" s="536"/>
      <c r="C477" s="536"/>
      <c r="D477" s="536"/>
      <c r="E477" s="536"/>
      <c r="F477" s="536"/>
      <c r="G477" s="536"/>
      <c r="H477" s="536"/>
      <c r="I477" s="536"/>
      <c r="J477" s="536"/>
      <c r="K477" s="536"/>
      <c r="L477" s="536"/>
      <c r="M477" s="536"/>
      <c r="N477" s="536"/>
      <c r="O477" s="536"/>
      <c r="P477" s="537"/>
      <c r="Q477" s="88">
        <f>Q475</f>
        <v>7500</v>
      </c>
      <c r="R477" s="88">
        <f>R475</f>
        <v>1125</v>
      </c>
      <c r="S477" s="88">
        <f>S475</f>
        <v>8625</v>
      </c>
    </row>
    <row r="478" spans="1:19" s="39" customFormat="1" ht="13.5" thickBot="1">
      <c r="A478" s="538" t="s">
        <v>265</v>
      </c>
      <c r="B478" s="539"/>
      <c r="C478" s="539"/>
      <c r="D478" s="539"/>
      <c r="E478" s="539"/>
      <c r="F478" s="539"/>
      <c r="G478" s="539"/>
      <c r="H478" s="539"/>
      <c r="I478" s="539"/>
      <c r="J478" s="539"/>
      <c r="K478" s="539"/>
      <c r="L478" s="539"/>
      <c r="M478" s="539"/>
      <c r="N478" s="539"/>
      <c r="O478" s="539"/>
      <c r="P478" s="540"/>
      <c r="Q478" s="116"/>
      <c r="R478" s="116"/>
      <c r="S478" s="145">
        <f>S477*1.302</f>
        <v>11229.75</v>
      </c>
    </row>
    <row r="479" spans="1:20" s="39" customFormat="1" ht="13.5" thickBot="1">
      <c r="A479" s="538" t="s">
        <v>56</v>
      </c>
      <c r="B479" s="539"/>
      <c r="C479" s="539"/>
      <c r="D479" s="539"/>
      <c r="E479" s="539"/>
      <c r="F479" s="539"/>
      <c r="G479" s="539"/>
      <c r="H479" s="539"/>
      <c r="I479" s="539"/>
      <c r="J479" s="539"/>
      <c r="K479" s="539"/>
      <c r="L479" s="539"/>
      <c r="M479" s="539"/>
      <c r="N479" s="539"/>
      <c r="O479" s="539"/>
      <c r="P479" s="540"/>
      <c r="Q479" s="116"/>
      <c r="R479" s="116"/>
      <c r="S479" s="145">
        <f>S478/S458*100</f>
        <v>18.17</v>
      </c>
      <c r="T479" s="41" t="s">
        <v>185</v>
      </c>
    </row>
    <row r="480" spans="1:19" ht="13.5" thickBot="1">
      <c r="A480" s="142"/>
      <c r="B480" s="139"/>
      <c r="C480" s="139"/>
      <c r="D480" s="139"/>
      <c r="E480" s="139"/>
      <c r="F480" s="139"/>
      <c r="G480" s="139"/>
      <c r="H480" s="139"/>
      <c r="I480" s="139"/>
      <c r="J480" s="139"/>
      <c r="K480" s="140"/>
      <c r="L480" s="139"/>
      <c r="M480" s="139"/>
      <c r="N480" s="139"/>
      <c r="O480" s="139"/>
      <c r="P480" s="139"/>
      <c r="Q480" s="140"/>
      <c r="R480" s="140"/>
      <c r="S480" s="148"/>
    </row>
    <row r="481" spans="1:19" s="39" customFormat="1" ht="13.5" thickBot="1">
      <c r="A481" s="535" t="s">
        <v>266</v>
      </c>
      <c r="B481" s="536"/>
      <c r="C481" s="536"/>
      <c r="D481" s="536"/>
      <c r="E481" s="536"/>
      <c r="F481" s="536"/>
      <c r="G481" s="536"/>
      <c r="H481" s="536"/>
      <c r="I481" s="536"/>
      <c r="J481" s="536"/>
      <c r="K481" s="536"/>
      <c r="L481" s="536"/>
      <c r="M481" s="536"/>
      <c r="N481" s="536"/>
      <c r="O481" s="536"/>
      <c r="P481" s="537"/>
      <c r="Q481" s="88">
        <f>Q457+Q477</f>
        <v>48773.76</v>
      </c>
      <c r="R481" s="88">
        <f>R457+R477</f>
        <v>7316.06</v>
      </c>
      <c r="S481" s="144">
        <f>S457+S477</f>
        <v>56089.82</v>
      </c>
    </row>
    <row r="482" spans="1:19" s="39" customFormat="1" ht="13.5" thickBot="1">
      <c r="A482" s="535" t="s">
        <v>267</v>
      </c>
      <c r="B482" s="536"/>
      <c r="C482" s="536"/>
      <c r="D482" s="536"/>
      <c r="E482" s="536"/>
      <c r="F482" s="536"/>
      <c r="G482" s="536"/>
      <c r="H482" s="536"/>
      <c r="I482" s="536"/>
      <c r="J482" s="536"/>
      <c r="K482" s="536"/>
      <c r="L482" s="536"/>
      <c r="M482" s="536"/>
      <c r="N482" s="536"/>
      <c r="O482" s="536"/>
      <c r="P482" s="537"/>
      <c r="Q482" s="116">
        <f>Q481/80*20</f>
        <v>12193.44</v>
      </c>
      <c r="R482" s="116">
        <f>R481/80*20</f>
        <v>1829.02</v>
      </c>
      <c r="S482" s="116">
        <f>S481/80*20</f>
        <v>14022.46</v>
      </c>
    </row>
    <row r="483" spans="1:19" s="39" customFormat="1" ht="13.5" thickBot="1">
      <c r="A483" s="538" t="s">
        <v>56</v>
      </c>
      <c r="B483" s="539"/>
      <c r="C483" s="539"/>
      <c r="D483" s="539"/>
      <c r="E483" s="539"/>
      <c r="F483" s="539"/>
      <c r="G483" s="539"/>
      <c r="H483" s="539"/>
      <c r="I483" s="539"/>
      <c r="J483" s="539"/>
      <c r="K483" s="539"/>
      <c r="L483" s="539"/>
      <c r="M483" s="539"/>
      <c r="N483" s="539"/>
      <c r="O483" s="539"/>
      <c r="P483" s="540"/>
      <c r="Q483" s="116"/>
      <c r="R483" s="116"/>
      <c r="S483" s="145">
        <f>Q482/Q481*100</f>
        <v>25</v>
      </c>
    </row>
    <row r="484" spans="1:19" s="39" customFormat="1" ht="13.5" thickBot="1">
      <c r="A484" s="535" t="s">
        <v>268</v>
      </c>
      <c r="B484" s="536"/>
      <c r="C484" s="536"/>
      <c r="D484" s="536"/>
      <c r="E484" s="536"/>
      <c r="F484" s="536"/>
      <c r="G484" s="536"/>
      <c r="H484" s="536"/>
      <c r="I484" s="536"/>
      <c r="J484" s="536"/>
      <c r="K484" s="536"/>
      <c r="L484" s="536"/>
      <c r="M484" s="536"/>
      <c r="N484" s="536"/>
      <c r="O484" s="536"/>
      <c r="P484" s="537"/>
      <c r="Q484" s="116">
        <f>(Q457+Q457*S483%)/29.3*42/12+(Q477+Q477*S483%)/29.3*28/12</f>
        <v>6909.48</v>
      </c>
      <c r="R484" s="116">
        <f>Q484*0.15</f>
        <v>1036.42</v>
      </c>
      <c r="S484" s="145">
        <f>Q484+R484</f>
        <v>7945.9</v>
      </c>
    </row>
    <row r="485" spans="1:19" s="39" customFormat="1" ht="13.5" thickBot="1">
      <c r="A485" s="535" t="s">
        <v>269</v>
      </c>
      <c r="B485" s="536"/>
      <c r="C485" s="536"/>
      <c r="D485" s="536"/>
      <c r="E485" s="536"/>
      <c r="F485" s="536"/>
      <c r="G485" s="536"/>
      <c r="H485" s="536"/>
      <c r="I485" s="536"/>
      <c r="J485" s="536"/>
      <c r="K485" s="536"/>
      <c r="L485" s="536"/>
      <c r="M485" s="536"/>
      <c r="N485" s="536"/>
      <c r="O485" s="536"/>
      <c r="P485" s="537"/>
      <c r="Q485" s="116">
        <f>Q481+Q482+Q484</f>
        <v>67876.68</v>
      </c>
      <c r="R485" s="116">
        <f>R481+R482+R484</f>
        <v>10181.5</v>
      </c>
      <c r="S485" s="145">
        <f>S481+S482+S484</f>
        <v>78058.18</v>
      </c>
    </row>
    <row r="486" spans="1:20" s="39" customFormat="1" ht="13.5" thickBot="1">
      <c r="A486" s="538" t="s">
        <v>270</v>
      </c>
      <c r="B486" s="539"/>
      <c r="C486" s="539"/>
      <c r="D486" s="539"/>
      <c r="E486" s="539"/>
      <c r="F486" s="539"/>
      <c r="G486" s="539"/>
      <c r="H486" s="539"/>
      <c r="I486" s="539"/>
      <c r="J486" s="539"/>
      <c r="K486" s="539"/>
      <c r="L486" s="539"/>
      <c r="M486" s="539"/>
      <c r="N486" s="539"/>
      <c r="O486" s="539"/>
      <c r="P486" s="540"/>
      <c r="Q486" s="116"/>
      <c r="R486" s="116"/>
      <c r="S486" s="145">
        <f>S485*1.302</f>
        <v>101631.75</v>
      </c>
      <c r="T486" s="52"/>
    </row>
    <row r="487" spans="1:19" s="39" customFormat="1" ht="13.5" thickBot="1">
      <c r="A487" s="538" t="s">
        <v>271</v>
      </c>
      <c r="B487" s="539"/>
      <c r="C487" s="539"/>
      <c r="D487" s="539"/>
      <c r="E487" s="539"/>
      <c r="F487" s="539"/>
      <c r="G487" s="539"/>
      <c r="H487" s="539"/>
      <c r="I487" s="539"/>
      <c r="J487" s="539"/>
      <c r="K487" s="539"/>
      <c r="L487" s="539"/>
      <c r="M487" s="539"/>
      <c r="N487" s="539"/>
      <c r="O487" s="539"/>
      <c r="P487" s="540"/>
      <c r="Q487" s="116"/>
      <c r="R487" s="116"/>
      <c r="S487" s="145">
        <f>'расчет%'!G75</f>
        <v>181200</v>
      </c>
    </row>
    <row r="488" spans="1:20" s="39" customFormat="1" ht="13.5" thickBot="1">
      <c r="A488" s="538" t="s">
        <v>56</v>
      </c>
      <c r="B488" s="539"/>
      <c r="C488" s="539"/>
      <c r="D488" s="539"/>
      <c r="E488" s="539"/>
      <c r="F488" s="539"/>
      <c r="G488" s="539"/>
      <c r="H488" s="539"/>
      <c r="I488" s="539"/>
      <c r="J488" s="539"/>
      <c r="K488" s="539"/>
      <c r="L488" s="539"/>
      <c r="M488" s="539"/>
      <c r="N488" s="539"/>
      <c r="O488" s="539"/>
      <c r="P488" s="540"/>
      <c r="Q488" s="116"/>
      <c r="R488" s="116"/>
      <c r="S488" s="145">
        <f>S486/S487*100</f>
        <v>56.09</v>
      </c>
      <c r="T488" s="41" t="s">
        <v>141</v>
      </c>
    </row>
    <row r="489" spans="1:19" s="39" customFormat="1" ht="12.7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50"/>
      <c r="L489" s="149"/>
      <c r="M489" s="149"/>
      <c r="N489" s="149"/>
      <c r="O489" s="149"/>
      <c r="P489" s="149"/>
      <c r="Q489" s="93"/>
      <c r="R489" s="93"/>
      <c r="S489" s="93"/>
    </row>
    <row r="490" spans="1:19" s="39" customFormat="1" ht="12.7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50"/>
      <c r="L490" s="149"/>
      <c r="M490" s="149"/>
      <c r="N490" s="149"/>
      <c r="O490" s="149"/>
      <c r="P490" s="149"/>
      <c r="Q490" s="93"/>
      <c r="R490" s="93"/>
      <c r="S490" s="93"/>
    </row>
    <row r="491" spans="1:19" s="39" customFormat="1" ht="12.7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50"/>
      <c r="L491" s="149"/>
      <c r="M491" s="149"/>
      <c r="N491" s="149"/>
      <c r="O491" s="149"/>
      <c r="P491" s="149"/>
      <c r="Q491" s="93"/>
      <c r="R491" s="93"/>
      <c r="S491" s="93"/>
    </row>
    <row r="492" spans="1:19" s="39" customFormat="1" ht="12.7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50"/>
      <c r="L492" s="149"/>
      <c r="M492" s="149"/>
      <c r="N492" s="149"/>
      <c r="O492" s="149"/>
      <c r="P492" s="149"/>
      <c r="Q492" s="93"/>
      <c r="R492" s="93"/>
      <c r="S492" s="93"/>
    </row>
    <row r="493" spans="1:19" s="39" customFormat="1" ht="12.7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50"/>
      <c r="L493" s="149"/>
      <c r="M493" s="149"/>
      <c r="N493" s="149"/>
      <c r="O493" s="149"/>
      <c r="P493" s="149"/>
      <c r="Q493" s="93"/>
      <c r="R493" s="93"/>
      <c r="S493" s="93"/>
    </row>
    <row r="494" spans="1:19" s="39" customFormat="1" ht="12.7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50"/>
      <c r="L494" s="149"/>
      <c r="M494" s="149"/>
      <c r="N494" s="149"/>
      <c r="O494" s="149"/>
      <c r="P494" s="149"/>
      <c r="Q494" s="93"/>
      <c r="R494" s="93"/>
      <c r="S494" s="93"/>
    </row>
    <row r="495" spans="1:19" s="39" customFormat="1" ht="12.7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50"/>
      <c r="L495" s="149"/>
      <c r="M495" s="149"/>
      <c r="N495" s="149"/>
      <c r="O495" s="149"/>
      <c r="P495" s="149"/>
      <c r="Q495" s="93"/>
      <c r="R495" s="93"/>
      <c r="S495" s="93"/>
    </row>
    <row r="496" spans="1:19" s="39" customFormat="1" ht="12.7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50"/>
      <c r="L496" s="149"/>
      <c r="M496" s="149"/>
      <c r="N496" s="149"/>
      <c r="O496" s="149"/>
      <c r="P496" s="149"/>
      <c r="Q496" s="93"/>
      <c r="R496" s="93"/>
      <c r="S496" s="93"/>
    </row>
    <row r="497" spans="1:19" s="39" customFormat="1" ht="12.7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50"/>
      <c r="L497" s="149"/>
      <c r="M497" s="149"/>
      <c r="N497" s="149"/>
      <c r="O497" s="149"/>
      <c r="P497" s="149"/>
      <c r="Q497" s="93"/>
      <c r="R497" s="93"/>
      <c r="S497" s="93"/>
    </row>
    <row r="498" spans="1:19" s="39" customFormat="1" ht="12.7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50"/>
      <c r="L498" s="149"/>
      <c r="M498" s="149"/>
      <c r="N498" s="149"/>
      <c r="O498" s="149"/>
      <c r="P498" s="149"/>
      <c r="Q498" s="93"/>
      <c r="R498" s="93"/>
      <c r="S498" s="93"/>
    </row>
    <row r="499" spans="1:19" s="39" customFormat="1" ht="12.7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50"/>
      <c r="L499" s="149"/>
      <c r="M499" s="149"/>
      <c r="N499" s="149"/>
      <c r="O499" s="149"/>
      <c r="P499" s="149"/>
      <c r="Q499" s="93"/>
      <c r="R499" s="93"/>
      <c r="S499" s="93"/>
    </row>
    <row r="500" spans="1:19" s="39" customFormat="1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50"/>
      <c r="L500" s="149"/>
      <c r="M500" s="149"/>
      <c r="N500" s="149"/>
      <c r="O500" s="149"/>
      <c r="P500" s="149"/>
      <c r="Q500" s="93"/>
      <c r="R500" s="93"/>
      <c r="S500" s="93"/>
    </row>
  </sheetData>
  <sheetProtection/>
  <mergeCells count="21">
    <mergeCell ref="A479:P479"/>
    <mergeCell ref="A487:P487"/>
    <mergeCell ref="A488:P488"/>
    <mergeCell ref="A481:P481"/>
    <mergeCell ref="A482:P482"/>
    <mergeCell ref="A483:P483"/>
    <mergeCell ref="A484:P484"/>
    <mergeCell ref="A485:P485"/>
    <mergeCell ref="A486:P486"/>
    <mergeCell ref="A457:P457"/>
    <mergeCell ref="A458:P458"/>
    <mergeCell ref="A460:S460"/>
    <mergeCell ref="A461:S461"/>
    <mergeCell ref="A477:P477"/>
    <mergeCell ref="A478:P478"/>
    <mergeCell ref="F3:G3"/>
    <mergeCell ref="A5:S5"/>
    <mergeCell ref="A6:S6"/>
    <mergeCell ref="A7:S7"/>
    <mergeCell ref="A9:S9"/>
    <mergeCell ref="A10:S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zoomScalePageLayoutView="0" workbookViewId="0" topLeftCell="A22">
      <selection activeCell="D11" sqref="D11"/>
    </sheetView>
  </sheetViews>
  <sheetFormatPr defaultColWidth="9.00390625" defaultRowHeight="12.75"/>
  <cols>
    <col min="1" max="1" width="20.75390625" style="40" customWidth="1"/>
    <col min="2" max="2" width="41.125" style="40" customWidth="1"/>
    <col min="3" max="3" width="19.625" style="40" customWidth="1"/>
    <col min="4" max="4" width="15.625" style="40" customWidth="1"/>
    <col min="5" max="5" width="16.375" style="40" customWidth="1"/>
    <col min="6" max="6" width="17.375" style="40" customWidth="1"/>
    <col min="7" max="7" width="11.375" style="40" customWidth="1"/>
    <col min="8" max="8" width="6.75390625" style="40" customWidth="1"/>
    <col min="9" max="9" width="10.125" style="40" bestFit="1" customWidth="1"/>
    <col min="10" max="16384" width="9.125" style="40" customWidth="1"/>
  </cols>
  <sheetData>
    <row r="1" spans="3:8" ht="12.75">
      <c r="C1" s="192"/>
      <c r="F1" s="277" t="s">
        <v>160</v>
      </c>
      <c r="G1" s="278"/>
      <c r="H1" s="278"/>
    </row>
    <row r="2" spans="3:8" ht="12.75">
      <c r="C2" s="192"/>
      <c r="F2" s="277" t="s">
        <v>161</v>
      </c>
      <c r="G2" s="278"/>
      <c r="H2" s="278"/>
    </row>
    <row r="3" spans="1:8" ht="12.75">
      <c r="A3" s="190" t="s">
        <v>226</v>
      </c>
      <c r="C3" s="192"/>
      <c r="E3" s="51"/>
      <c r="F3" s="277" t="s">
        <v>184</v>
      </c>
      <c r="G3" s="278"/>
      <c r="H3" s="278"/>
    </row>
    <row r="4" ht="12.75">
      <c r="E4" s="51"/>
    </row>
    <row r="5" spans="4:8" ht="12.75">
      <c r="D5" s="279"/>
      <c r="E5" s="279"/>
      <c r="F5" s="279"/>
      <c r="G5" s="597" t="s">
        <v>162</v>
      </c>
      <c r="H5" s="597"/>
    </row>
    <row r="6" spans="3:8" ht="12.75">
      <c r="C6" s="51"/>
      <c r="D6" s="279"/>
      <c r="E6" s="51"/>
      <c r="F6" s="51" t="s">
        <v>163</v>
      </c>
      <c r="G6" s="597">
        <v>301017</v>
      </c>
      <c r="H6" s="597"/>
    </row>
    <row r="7" spans="3:8" ht="12.75">
      <c r="C7" s="51"/>
      <c r="D7" s="279"/>
      <c r="E7" s="51"/>
      <c r="F7" s="51" t="s">
        <v>164</v>
      </c>
      <c r="G7" s="597"/>
      <c r="H7" s="597"/>
    </row>
    <row r="8" ht="12.75">
      <c r="E8" s="51"/>
    </row>
    <row r="10" spans="1:6" ht="12.75">
      <c r="A10" s="192"/>
      <c r="B10" s="39" t="s">
        <v>165</v>
      </c>
      <c r="C10" s="71" t="s">
        <v>166</v>
      </c>
      <c r="D10" s="71" t="s">
        <v>167</v>
      </c>
      <c r="F10" s="192" t="s">
        <v>168</v>
      </c>
    </row>
    <row r="11" spans="1:6" ht="12.75">
      <c r="A11" s="192"/>
      <c r="B11" s="39" t="s">
        <v>219</v>
      </c>
      <c r="C11" s="280">
        <v>2</v>
      </c>
      <c r="D11" s="281" t="s">
        <v>255</v>
      </c>
      <c r="F11" s="192" t="s">
        <v>169</v>
      </c>
    </row>
    <row r="12" ht="12.75">
      <c r="F12" s="192" t="s">
        <v>230</v>
      </c>
    </row>
    <row r="13" spans="6:8" ht="12.75">
      <c r="F13" s="192" t="s">
        <v>170</v>
      </c>
      <c r="G13" s="42">
        <f>SUM(C17:C55)</f>
        <v>1.68</v>
      </c>
      <c r="H13" s="40" t="s">
        <v>171</v>
      </c>
    </row>
    <row r="14" ht="13.5" thickBot="1"/>
    <row r="15" spans="1:8" s="39" customFormat="1" ht="36" customHeight="1" thickBot="1">
      <c r="A15" s="605" t="s">
        <v>172</v>
      </c>
      <c r="B15" s="606"/>
      <c r="C15" s="162" t="s">
        <v>186</v>
      </c>
      <c r="D15" s="162" t="s">
        <v>187</v>
      </c>
      <c r="E15" s="162" t="s">
        <v>188</v>
      </c>
      <c r="F15" s="163" t="s">
        <v>189</v>
      </c>
      <c r="G15" s="607" t="s">
        <v>173</v>
      </c>
      <c r="H15" s="608"/>
    </row>
    <row r="16" spans="1:8" s="39" customFormat="1" ht="13.5" thickBot="1">
      <c r="A16" s="609">
        <v>1</v>
      </c>
      <c r="B16" s="610"/>
      <c r="C16" s="57">
        <v>2</v>
      </c>
      <c r="D16" s="57">
        <v>3</v>
      </c>
      <c r="E16" s="57">
        <v>4</v>
      </c>
      <c r="F16" s="57">
        <v>5</v>
      </c>
      <c r="G16" s="611">
        <v>6</v>
      </c>
      <c r="H16" s="612"/>
    </row>
    <row r="17" spans="1:8" ht="39.75" thickBot="1" thickTop="1">
      <c r="A17" s="397" t="str">
        <f>'тарификация 01.10'!C24</f>
        <v>Педагог дополнительного образования</v>
      </c>
      <c r="B17" s="398" t="str">
        <f>'тарификация 01.10'!D24</f>
        <v>Танцевальная студия - 1</v>
      </c>
      <c r="C17" s="399">
        <f>'тарификация 01.10'!E24</f>
        <v>0.11</v>
      </c>
      <c r="D17" s="400">
        <f>'тарификация 01.10'!Q34</f>
        <v>11169.6</v>
      </c>
      <c r="E17" s="400">
        <v>0</v>
      </c>
      <c r="F17" s="400">
        <f>D17</f>
        <v>11169.6</v>
      </c>
      <c r="G17" s="603"/>
      <c r="H17" s="604"/>
    </row>
    <row r="18" spans="1:8" ht="39.75" thickBot="1" thickTop="1">
      <c r="A18" s="283" t="str">
        <f>'тарификация 01.10'!C40</f>
        <v>Педагог дополнительного образования</v>
      </c>
      <c r="B18" s="108" t="str">
        <f>'тарификация 01.10'!D40</f>
        <v>Творческая студия</v>
      </c>
      <c r="C18" s="107">
        <f>'тарификация 01.10'!E40</f>
        <v>0.11</v>
      </c>
      <c r="D18" s="282">
        <f>'тарификация 01.10'!Q50</f>
        <v>8776.8</v>
      </c>
      <c r="E18" s="282">
        <v>0</v>
      </c>
      <c r="F18" s="400">
        <f aca="true" t="shared" si="0" ref="F18:F47">D18</f>
        <v>8776.8</v>
      </c>
      <c r="G18" s="601"/>
      <c r="H18" s="602"/>
    </row>
    <row r="19" spans="1:8" ht="39.75" thickBot="1" thickTop="1">
      <c r="A19" s="283" t="str">
        <f>'тарификация 01.10'!C56</f>
        <v>Педагог дополнительного образования</v>
      </c>
      <c r="B19" s="108" t="str">
        <f>'тарификация 01.10'!D56</f>
        <v>Услуга логопедической помощи</v>
      </c>
      <c r="C19" s="107">
        <f>'тарификация 01.10'!E56</f>
        <v>0.11</v>
      </c>
      <c r="D19" s="282">
        <f>'тарификация 01.10'!Q66</f>
        <v>7250.4</v>
      </c>
      <c r="E19" s="282">
        <v>0</v>
      </c>
      <c r="F19" s="400">
        <f t="shared" si="0"/>
        <v>7250.4</v>
      </c>
      <c r="G19" s="601"/>
      <c r="H19" s="602"/>
    </row>
    <row r="20" spans="1:8" ht="39.75" thickBot="1" thickTop="1">
      <c r="A20" s="283" t="str">
        <f>'тарификация 01.10'!C72</f>
        <v>Педагог дополнительного образования</v>
      </c>
      <c r="B20" s="108" t="str">
        <f>'тарификация 01.10'!D72</f>
        <v>Мультстудия</v>
      </c>
      <c r="C20" s="107">
        <f>'тарификация 01.10'!E72</f>
        <v>0.11</v>
      </c>
      <c r="D20" s="282">
        <f>'тарификация 01.10'!Q82</f>
        <v>2577.6</v>
      </c>
      <c r="E20" s="282">
        <v>0</v>
      </c>
      <c r="F20" s="400">
        <f t="shared" si="0"/>
        <v>2577.6</v>
      </c>
      <c r="G20" s="601"/>
      <c r="H20" s="602"/>
    </row>
    <row r="21" spans="1:8" ht="47.25" customHeight="1" thickBot="1" thickTop="1">
      <c r="A21" s="442" t="s">
        <v>180</v>
      </c>
      <c r="B21" s="443" t="str">
        <f>'тарификация 01.10'!B84</f>
        <v>Танцевальная студия - 2</v>
      </c>
      <c r="C21" s="444">
        <f>'тарификация 01.10'!E87</f>
        <v>0.06</v>
      </c>
      <c r="D21" s="433">
        <f>'тарификация 01.10'!Q87</f>
        <v>1908.16</v>
      </c>
      <c r="E21" s="282">
        <v>0</v>
      </c>
      <c r="F21" s="400">
        <f t="shared" si="0"/>
        <v>1908.16</v>
      </c>
      <c r="G21" s="601"/>
      <c r="H21" s="602"/>
    </row>
    <row r="22" spans="1:8" ht="37.5" customHeight="1" thickBot="1" thickTop="1">
      <c r="A22" s="442" t="s">
        <v>180</v>
      </c>
      <c r="B22" s="443" t="str">
        <f>'тарификация 01.10'!B90</f>
        <v>Творческая студия "Акварелька"-1</v>
      </c>
      <c r="C22" s="444">
        <f>'тарификация 01.10'!E93</f>
        <v>0.06</v>
      </c>
      <c r="D22" s="433">
        <f>'тарификация 01.10'!Q93</f>
        <v>2289.6</v>
      </c>
      <c r="E22" s="282">
        <v>0</v>
      </c>
      <c r="F22" s="400">
        <f t="shared" si="0"/>
        <v>2289.6</v>
      </c>
      <c r="G22" s="601"/>
      <c r="H22" s="602"/>
    </row>
    <row r="23" spans="1:8" ht="39" customHeight="1" thickBot="1" thickTop="1">
      <c r="A23" s="442" t="s">
        <v>180</v>
      </c>
      <c r="B23" s="443" t="str">
        <f>'тарификация 01.10'!B97</f>
        <v>Творческая студия "Акварелька"</v>
      </c>
      <c r="C23" s="444">
        <f>'тарификация 01.10'!E101</f>
        <v>0.06</v>
      </c>
      <c r="D23" s="433">
        <f>'тарификация 01.10'!Q101</f>
        <v>5012</v>
      </c>
      <c r="E23" s="282">
        <v>0</v>
      </c>
      <c r="F23" s="400">
        <f t="shared" si="0"/>
        <v>5012</v>
      </c>
      <c r="G23" s="601"/>
      <c r="H23" s="602"/>
    </row>
    <row r="24" spans="1:8" ht="45" customHeight="1" thickBot="1" thickTop="1">
      <c r="A24" s="283" t="str">
        <f>'тарификация 01.10'!C109</f>
        <v>Педагог дополнительного образования</v>
      </c>
      <c r="B24" s="108" t="str">
        <f>'тарификация 01.10'!B105</f>
        <v>Студия конструирования "Йохокуб"</v>
      </c>
      <c r="C24" s="107">
        <f>'тарификация 01.10'!E109</f>
        <v>0.06</v>
      </c>
      <c r="D24" s="282">
        <f>'тарификация 01.10'!Q119</f>
        <v>2289.6</v>
      </c>
      <c r="E24" s="282">
        <v>0</v>
      </c>
      <c r="F24" s="400">
        <f t="shared" si="0"/>
        <v>2289.6</v>
      </c>
      <c r="G24" s="601"/>
      <c r="H24" s="602"/>
    </row>
    <row r="25" spans="1:8" ht="39.75" hidden="1" thickBot="1" thickTop="1">
      <c r="A25" s="283" t="str">
        <f>'тарификация '!C118</f>
        <v>Педагог дополнительного образования</v>
      </c>
      <c r="B25" s="401" t="e">
        <f>'тарификация '!B114</f>
        <v>#REF!</v>
      </c>
      <c r="C25" s="111" t="s">
        <v>218</v>
      </c>
      <c r="D25" s="282">
        <f>'тарификация 01.10'!Q135</f>
        <v>0</v>
      </c>
      <c r="E25" s="282">
        <v>0</v>
      </c>
      <c r="F25" s="400">
        <f t="shared" si="0"/>
        <v>0</v>
      </c>
      <c r="G25" s="601"/>
      <c r="H25" s="602"/>
    </row>
    <row r="26" spans="1:8" ht="41.25" customHeight="1" hidden="1">
      <c r="A26" s="283" t="str">
        <f>'тарификация 01.10'!C141</f>
        <v>Педагог дополнительного образования</v>
      </c>
      <c r="B26" s="401" t="e">
        <f>'тарификация '!B130</f>
        <v>#REF!</v>
      </c>
      <c r="C26" s="111">
        <f>'тарификация 01.10'!F151</f>
        <v>0</v>
      </c>
      <c r="D26" s="282">
        <f>'тарификация 01.10'!Q151</f>
        <v>0</v>
      </c>
      <c r="E26" s="282">
        <v>0</v>
      </c>
      <c r="F26" s="400">
        <f t="shared" si="0"/>
        <v>0</v>
      </c>
      <c r="G26" s="601"/>
      <c r="H26" s="602"/>
    </row>
    <row r="27" spans="1:8" ht="39.75" hidden="1" thickBot="1" thickTop="1">
      <c r="A27" s="283" t="str">
        <f>'тарификация '!C150</f>
        <v>Педагог дополнительного образования</v>
      </c>
      <c r="B27" s="401" t="str">
        <f>'тарификация '!B146</f>
        <v>Танцевальная студия - 2</v>
      </c>
      <c r="C27" s="111">
        <f>'тарификация '!F160</f>
        <v>0</v>
      </c>
      <c r="D27" s="282">
        <f>'тарификация '!Q160</f>
        <v>0</v>
      </c>
      <c r="E27" s="282">
        <v>0</v>
      </c>
      <c r="F27" s="400">
        <f t="shared" si="0"/>
        <v>0</v>
      </c>
      <c r="G27" s="601"/>
      <c r="H27" s="602"/>
    </row>
    <row r="28" spans="1:8" ht="39.75" hidden="1" thickBot="1" thickTop="1">
      <c r="A28" s="283" t="str">
        <f>'тарификация '!C166</f>
        <v>Педагог дополнительного образования</v>
      </c>
      <c r="B28" s="401" t="e">
        <f>'тарификация '!B162</f>
        <v>#REF!</v>
      </c>
      <c r="C28" s="111">
        <f>'тарификация '!F176</f>
        <v>0</v>
      </c>
      <c r="D28" s="282">
        <f>'тарификация '!Q176</f>
        <v>0</v>
      </c>
      <c r="E28" s="282">
        <v>0</v>
      </c>
      <c r="F28" s="400">
        <f t="shared" si="0"/>
        <v>0</v>
      </c>
      <c r="G28" s="601"/>
      <c r="H28" s="602"/>
    </row>
    <row r="29" spans="1:8" ht="39.75" hidden="1" thickBot="1" thickTop="1">
      <c r="A29" s="283" t="str">
        <f>'тарификация '!C182</f>
        <v>Педагог дополнительного образования</v>
      </c>
      <c r="B29" s="402" t="e">
        <f>'тарификация '!B178</f>
        <v>#REF!</v>
      </c>
      <c r="C29" s="111">
        <f>'тарификация '!F192</f>
        <v>0</v>
      </c>
      <c r="D29" s="282">
        <f>'тарификация '!Q192</f>
        <v>0</v>
      </c>
      <c r="E29" s="282">
        <v>0</v>
      </c>
      <c r="F29" s="400">
        <f t="shared" si="0"/>
        <v>0</v>
      </c>
      <c r="G29" s="601"/>
      <c r="H29" s="602"/>
    </row>
    <row r="30" spans="1:8" ht="16.5" hidden="1" thickBot="1" thickTop="1">
      <c r="A30" s="283" t="s">
        <v>52</v>
      </c>
      <c r="B30" s="401" t="e">
        <f>'тарификация '!B194</f>
        <v>#REF!</v>
      </c>
      <c r="C30" s="111">
        <f>'тарификация '!F208</f>
        <v>0</v>
      </c>
      <c r="D30" s="282">
        <f>'тарификация '!Q208</f>
        <v>0</v>
      </c>
      <c r="E30" s="282">
        <v>0</v>
      </c>
      <c r="F30" s="400">
        <f t="shared" si="0"/>
        <v>0</v>
      </c>
      <c r="G30" s="601"/>
      <c r="H30" s="602"/>
    </row>
    <row r="31" spans="1:8" ht="16.5" hidden="1" thickBot="1" thickTop="1">
      <c r="A31" s="283" t="s">
        <v>52</v>
      </c>
      <c r="B31" s="401">
        <f>'тарификация '!B210</f>
        <v>0</v>
      </c>
      <c r="C31" s="111">
        <f>'тарификация '!F224</f>
        <v>0</v>
      </c>
      <c r="D31" s="282">
        <f>'тарификация '!Q224</f>
        <v>0</v>
      </c>
      <c r="E31" s="282">
        <v>0</v>
      </c>
      <c r="F31" s="400">
        <f t="shared" si="0"/>
        <v>0</v>
      </c>
      <c r="G31" s="601"/>
      <c r="H31" s="602"/>
    </row>
    <row r="32" spans="1:8" ht="16.5" hidden="1" thickBot="1" thickTop="1">
      <c r="A32" s="283" t="s">
        <v>52</v>
      </c>
      <c r="B32" s="401" t="str">
        <f>'тарификация '!B226</f>
        <v>услуга 13</v>
      </c>
      <c r="C32" s="111">
        <f>'тарификация '!F240</f>
        <v>0</v>
      </c>
      <c r="D32" s="282">
        <f>'тарификация '!Q240</f>
        <v>0</v>
      </c>
      <c r="E32" s="282">
        <v>0</v>
      </c>
      <c r="F32" s="400">
        <f t="shared" si="0"/>
        <v>0</v>
      </c>
      <c r="G32" s="601"/>
      <c r="H32" s="602"/>
    </row>
    <row r="33" spans="1:8" ht="16.5" hidden="1" thickBot="1" thickTop="1">
      <c r="A33" s="283" t="s">
        <v>52</v>
      </c>
      <c r="B33" s="401" t="str">
        <f>'тарификация '!B242</f>
        <v>услуга 14</v>
      </c>
      <c r="C33" s="111">
        <f>'тарификация '!F256</f>
        <v>0</v>
      </c>
      <c r="D33" s="282">
        <f>'тарификация '!Q256</f>
        <v>0</v>
      </c>
      <c r="E33" s="282">
        <v>0</v>
      </c>
      <c r="F33" s="400">
        <f t="shared" si="0"/>
        <v>0</v>
      </c>
      <c r="G33" s="601"/>
      <c r="H33" s="602"/>
    </row>
    <row r="34" spans="1:8" ht="16.5" hidden="1" thickBot="1" thickTop="1">
      <c r="A34" s="283" t="s">
        <v>52</v>
      </c>
      <c r="B34" s="401" t="str">
        <f>'тарификация '!B258</f>
        <v>услуга 15</v>
      </c>
      <c r="C34" s="111">
        <f>'тарификация '!F272</f>
        <v>0</v>
      </c>
      <c r="D34" s="282">
        <f>'тарификация '!Q272</f>
        <v>0</v>
      </c>
      <c r="E34" s="282">
        <v>0</v>
      </c>
      <c r="F34" s="400">
        <f t="shared" si="0"/>
        <v>0</v>
      </c>
      <c r="G34" s="601"/>
      <c r="H34" s="602"/>
    </row>
    <row r="35" spans="1:8" ht="16.5" hidden="1" thickBot="1" thickTop="1">
      <c r="A35" s="283" t="s">
        <v>52</v>
      </c>
      <c r="B35" s="401" t="str">
        <f>'тарификация '!B274</f>
        <v>услуга 16</v>
      </c>
      <c r="C35" s="111">
        <f>'тарификация '!F288</f>
        <v>0</v>
      </c>
      <c r="D35" s="282">
        <f>'тарификация '!Q288</f>
        <v>0</v>
      </c>
      <c r="E35" s="282">
        <v>0</v>
      </c>
      <c r="F35" s="400">
        <f t="shared" si="0"/>
        <v>0</v>
      </c>
      <c r="G35" s="601"/>
      <c r="H35" s="602"/>
    </row>
    <row r="36" spans="1:8" ht="16.5" hidden="1" thickBot="1" thickTop="1">
      <c r="A36" s="283" t="s">
        <v>52</v>
      </c>
      <c r="B36" s="401" t="str">
        <f>'тарификация '!B290</f>
        <v>услуга 17</v>
      </c>
      <c r="C36" s="111">
        <f>'тарификация '!F304</f>
        <v>0</v>
      </c>
      <c r="D36" s="282">
        <f>'тарификация '!Q304</f>
        <v>0</v>
      </c>
      <c r="E36" s="282">
        <v>0</v>
      </c>
      <c r="F36" s="400">
        <f t="shared" si="0"/>
        <v>0</v>
      </c>
      <c r="G36" s="601"/>
      <c r="H36" s="602"/>
    </row>
    <row r="37" spans="1:8" ht="16.5" hidden="1" thickBot="1" thickTop="1">
      <c r="A37" s="283" t="s">
        <v>52</v>
      </c>
      <c r="B37" s="401" t="str">
        <f>'тарификация '!B306</f>
        <v>услуга 18</v>
      </c>
      <c r="C37" s="111">
        <f>'тарификация '!F320</f>
        <v>0</v>
      </c>
      <c r="D37" s="282">
        <f>'тарификация '!Q320</f>
        <v>0</v>
      </c>
      <c r="E37" s="282">
        <v>0</v>
      </c>
      <c r="F37" s="400">
        <f t="shared" si="0"/>
        <v>0</v>
      </c>
      <c r="G37" s="601"/>
      <c r="H37" s="602"/>
    </row>
    <row r="38" spans="1:8" ht="16.5" hidden="1" thickBot="1" thickTop="1">
      <c r="A38" s="283" t="s">
        <v>52</v>
      </c>
      <c r="B38" s="401" t="str">
        <f>'тарификация '!B322</f>
        <v>услуга 19</v>
      </c>
      <c r="C38" s="111">
        <f>'тарификация '!F336</f>
        <v>0</v>
      </c>
      <c r="D38" s="282">
        <f>'тарификация '!Q336</f>
        <v>0</v>
      </c>
      <c r="E38" s="282">
        <v>0</v>
      </c>
      <c r="F38" s="400">
        <f t="shared" si="0"/>
        <v>0</v>
      </c>
      <c r="G38" s="601"/>
      <c r="H38" s="602"/>
    </row>
    <row r="39" spans="1:8" ht="16.5" hidden="1" thickBot="1" thickTop="1">
      <c r="A39" s="283" t="s">
        <v>52</v>
      </c>
      <c r="B39" s="401" t="str">
        <f>'тарификация '!B338</f>
        <v>услуга 20</v>
      </c>
      <c r="C39" s="111">
        <f>'тарификация '!F352</f>
        <v>0</v>
      </c>
      <c r="D39" s="282">
        <f>'тарификация '!Q352</f>
        <v>0</v>
      </c>
      <c r="E39" s="282">
        <v>0</v>
      </c>
      <c r="F39" s="400">
        <f t="shared" si="0"/>
        <v>0</v>
      </c>
      <c r="G39" s="601"/>
      <c r="H39" s="602"/>
    </row>
    <row r="40" spans="1:8" ht="16.5" hidden="1" thickBot="1" thickTop="1">
      <c r="A40" s="283" t="s">
        <v>52</v>
      </c>
      <c r="B40" s="401" t="str">
        <f>'тарификация '!B354</f>
        <v>услуга 21</v>
      </c>
      <c r="C40" s="111">
        <f>'тарификация '!F368</f>
        <v>0</v>
      </c>
      <c r="D40" s="282">
        <f>'тарификация '!Q368</f>
        <v>0</v>
      </c>
      <c r="E40" s="282">
        <v>0</v>
      </c>
      <c r="F40" s="400">
        <f t="shared" si="0"/>
        <v>0</v>
      </c>
      <c r="G40" s="601"/>
      <c r="H40" s="602"/>
    </row>
    <row r="41" spans="1:8" ht="16.5" hidden="1" thickBot="1" thickTop="1">
      <c r="A41" s="283" t="s">
        <v>52</v>
      </c>
      <c r="B41" s="401" t="str">
        <f>'тарификация '!B370</f>
        <v>услуга 22</v>
      </c>
      <c r="C41" s="111">
        <f>'тарификация '!F384</f>
        <v>0</v>
      </c>
      <c r="D41" s="282">
        <f>'тарификация '!Q384</f>
        <v>0</v>
      </c>
      <c r="E41" s="282">
        <v>0</v>
      </c>
      <c r="F41" s="400">
        <f t="shared" si="0"/>
        <v>0</v>
      </c>
      <c r="G41" s="601"/>
      <c r="H41" s="602"/>
    </row>
    <row r="42" spans="1:8" ht="16.5" hidden="1" thickBot="1" thickTop="1">
      <c r="A42" s="283" t="s">
        <v>52</v>
      </c>
      <c r="B42" s="401" t="str">
        <f>'тарификация '!B386</f>
        <v>услуга 23</v>
      </c>
      <c r="C42" s="111">
        <f>'тарификация '!F400</f>
        <v>0</v>
      </c>
      <c r="D42" s="282">
        <f>'тарификация '!Q400</f>
        <v>0</v>
      </c>
      <c r="E42" s="282">
        <v>0</v>
      </c>
      <c r="F42" s="400">
        <f t="shared" si="0"/>
        <v>0</v>
      </c>
      <c r="G42" s="601"/>
      <c r="H42" s="602"/>
    </row>
    <row r="43" spans="1:8" ht="16.5" hidden="1" thickBot="1" thickTop="1">
      <c r="A43" s="283" t="s">
        <v>52</v>
      </c>
      <c r="B43" s="401" t="str">
        <f>'тарификация '!B402</f>
        <v>услуга 24</v>
      </c>
      <c r="C43" s="111">
        <f>'тарификация '!F416</f>
        <v>0</v>
      </c>
      <c r="D43" s="282">
        <f>'тарификация '!Q416</f>
        <v>0</v>
      </c>
      <c r="E43" s="282">
        <v>0</v>
      </c>
      <c r="F43" s="400">
        <f t="shared" si="0"/>
        <v>0</v>
      </c>
      <c r="G43" s="601"/>
      <c r="H43" s="602"/>
    </row>
    <row r="44" spans="1:8" ht="16.5" hidden="1" thickBot="1" thickTop="1">
      <c r="A44" s="283" t="s">
        <v>52</v>
      </c>
      <c r="B44" s="401" t="str">
        <f>'тарификация '!B418</f>
        <v>услуга 25</v>
      </c>
      <c r="C44" s="111">
        <f>'тарификация '!F432</f>
        <v>0</v>
      </c>
      <c r="D44" s="282">
        <f>'тарификация '!Q432</f>
        <v>0</v>
      </c>
      <c r="E44" s="282">
        <v>0</v>
      </c>
      <c r="F44" s="400">
        <f t="shared" si="0"/>
        <v>0</v>
      </c>
      <c r="G44" s="601"/>
      <c r="H44" s="602"/>
    </row>
    <row r="45" spans="1:8" ht="16.5" hidden="1" thickBot="1" thickTop="1">
      <c r="A45" s="283" t="s">
        <v>52</v>
      </c>
      <c r="B45" s="401" t="str">
        <f>'тарификация '!B434</f>
        <v>услуга 26</v>
      </c>
      <c r="C45" s="111">
        <f>'тарификация '!F448</f>
        <v>0</v>
      </c>
      <c r="D45" s="282">
        <f>'тарификация '!Q448</f>
        <v>0</v>
      </c>
      <c r="E45" s="282">
        <v>0</v>
      </c>
      <c r="F45" s="400">
        <f t="shared" si="0"/>
        <v>0</v>
      </c>
      <c r="G45" s="601"/>
      <c r="H45" s="602"/>
    </row>
    <row r="46" spans="1:8" ht="14.25" hidden="1" thickBot="1" thickTop="1">
      <c r="A46" s="283">
        <f>'тарификация '!C458</f>
        <v>0</v>
      </c>
      <c r="B46" s="403" t="s">
        <v>9</v>
      </c>
      <c r="C46" s="106">
        <f>'тарификация '!F458</f>
        <v>0</v>
      </c>
      <c r="D46" s="282">
        <f>'тарификация '!Q458</f>
        <v>0</v>
      </c>
      <c r="E46" s="282">
        <v>0</v>
      </c>
      <c r="F46" s="400">
        <f t="shared" si="0"/>
        <v>0</v>
      </c>
      <c r="G46" s="601"/>
      <c r="H46" s="602"/>
    </row>
    <row r="47" spans="1:8" ht="42.75" customHeight="1" thickBot="1" thickTop="1">
      <c r="A47" s="283" t="str">
        <f>'тарификация '!C459</f>
        <v>Диспетчер образовательного учреждения</v>
      </c>
      <c r="B47" s="403" t="s">
        <v>9</v>
      </c>
      <c r="C47" s="106">
        <f>'тарификация 01.10'!E465</f>
        <v>1</v>
      </c>
      <c r="D47" s="282">
        <f>'тарификация 01.10'!Q465</f>
        <v>7500</v>
      </c>
      <c r="E47" s="282">
        <v>0</v>
      </c>
      <c r="F47" s="400">
        <f t="shared" si="0"/>
        <v>7500</v>
      </c>
      <c r="G47" s="601"/>
      <c r="H47" s="602"/>
    </row>
    <row r="48" spans="1:8" ht="13.5" hidden="1" thickBot="1">
      <c r="A48" s="177">
        <f>'тарификация '!C460</f>
        <v>0</v>
      </c>
      <c r="B48" s="284" t="s">
        <v>9</v>
      </c>
      <c r="C48" s="71">
        <f>'тарификация '!F460</f>
        <v>0</v>
      </c>
      <c r="D48" s="282">
        <f>'тарификация 01.10'!Q467</f>
        <v>0</v>
      </c>
      <c r="E48" s="285">
        <f aca="true" t="shared" si="1" ref="E48:E55">D48</f>
        <v>0</v>
      </c>
      <c r="F48" s="282">
        <f aca="true" t="shared" si="2" ref="F48:F55">D48</f>
        <v>0</v>
      </c>
      <c r="G48" s="597"/>
      <c r="H48" s="598"/>
    </row>
    <row r="49" spans="1:8" ht="12.75" hidden="1">
      <c r="A49" s="177" t="str">
        <f>'тарификация '!C461</f>
        <v>должность 4</v>
      </c>
      <c r="B49" s="284" t="s">
        <v>9</v>
      </c>
      <c r="C49" s="71">
        <f>'тарификация '!F461</f>
        <v>0</v>
      </c>
      <c r="D49" s="285">
        <f>'тарификация '!Q461</f>
        <v>0</v>
      </c>
      <c r="E49" s="285">
        <f t="shared" si="1"/>
        <v>0</v>
      </c>
      <c r="F49" s="282">
        <f t="shared" si="2"/>
        <v>0</v>
      </c>
      <c r="G49" s="597"/>
      <c r="H49" s="598"/>
    </row>
    <row r="50" spans="1:8" ht="12.75" hidden="1">
      <c r="A50" s="177" t="str">
        <f>'тарификация '!C462</f>
        <v>должность 5</v>
      </c>
      <c r="B50" s="284" t="s">
        <v>9</v>
      </c>
      <c r="C50" s="71">
        <f>'тарификация '!F462</f>
        <v>0</v>
      </c>
      <c r="D50" s="285">
        <f>'тарификация '!Q462</f>
        <v>0</v>
      </c>
      <c r="E50" s="285">
        <f t="shared" si="1"/>
        <v>0</v>
      </c>
      <c r="F50" s="282">
        <f t="shared" si="2"/>
        <v>0</v>
      </c>
      <c r="G50" s="597"/>
      <c r="H50" s="598"/>
    </row>
    <row r="51" spans="1:8" ht="12.75" hidden="1">
      <c r="A51" s="177" t="str">
        <f>'тарификация '!C463</f>
        <v>должность 6</v>
      </c>
      <c r="B51" s="284" t="s">
        <v>9</v>
      </c>
      <c r="C51" s="71">
        <f>'тарификация '!F463</f>
        <v>0</v>
      </c>
      <c r="D51" s="285">
        <f>'тарификация '!Q463</f>
        <v>0</v>
      </c>
      <c r="E51" s="285">
        <f t="shared" si="1"/>
        <v>0</v>
      </c>
      <c r="F51" s="282">
        <f t="shared" si="2"/>
        <v>0</v>
      </c>
      <c r="G51" s="597"/>
      <c r="H51" s="598"/>
    </row>
    <row r="52" spans="1:8" ht="12.75" hidden="1">
      <c r="A52" s="177" t="str">
        <f>'тарификация '!C464</f>
        <v>должность 7</v>
      </c>
      <c r="B52" s="284" t="s">
        <v>9</v>
      </c>
      <c r="C52" s="71">
        <f>'тарификация '!F464</f>
        <v>0</v>
      </c>
      <c r="D52" s="285">
        <f>'тарификация '!Q464</f>
        <v>0</v>
      </c>
      <c r="E52" s="285">
        <f t="shared" si="1"/>
        <v>0</v>
      </c>
      <c r="F52" s="282">
        <f t="shared" si="2"/>
        <v>0</v>
      </c>
      <c r="G52" s="597"/>
      <c r="H52" s="598"/>
    </row>
    <row r="53" spans="1:8" ht="12.75" hidden="1">
      <c r="A53" s="177" t="str">
        <f>'тарификация '!C465</f>
        <v>должность 8</v>
      </c>
      <c r="B53" s="284" t="s">
        <v>9</v>
      </c>
      <c r="C53" s="71">
        <f>'тарификация '!F465</f>
        <v>0</v>
      </c>
      <c r="D53" s="285">
        <f>'тарификация '!Q465</f>
        <v>0</v>
      </c>
      <c r="E53" s="285">
        <f t="shared" si="1"/>
        <v>0</v>
      </c>
      <c r="F53" s="282">
        <f t="shared" si="2"/>
        <v>0</v>
      </c>
      <c r="G53" s="597"/>
      <c r="H53" s="598"/>
    </row>
    <row r="54" spans="1:8" ht="12.75" hidden="1">
      <c r="A54" s="177" t="str">
        <f>'тарификация '!C466</f>
        <v>должность 9</v>
      </c>
      <c r="B54" s="284" t="s">
        <v>9</v>
      </c>
      <c r="C54" s="71">
        <f>'тарификация '!F466</f>
        <v>0</v>
      </c>
      <c r="D54" s="285">
        <f>'тарификация '!Q466</f>
        <v>0</v>
      </c>
      <c r="E54" s="285">
        <f t="shared" si="1"/>
        <v>0</v>
      </c>
      <c r="F54" s="282">
        <f t="shared" si="2"/>
        <v>0</v>
      </c>
      <c r="G54" s="597"/>
      <c r="H54" s="598"/>
    </row>
    <row r="55" spans="1:8" ht="13.5" hidden="1" thickBot="1">
      <c r="A55" s="180" t="str">
        <f>'тарификация '!C467</f>
        <v>должность 10</v>
      </c>
      <c r="B55" s="286" t="s">
        <v>9</v>
      </c>
      <c r="C55" s="79">
        <f>'тарификация '!F467</f>
        <v>0</v>
      </c>
      <c r="D55" s="287">
        <f>'тарификация '!Q467</f>
        <v>0</v>
      </c>
      <c r="E55" s="287">
        <f t="shared" si="1"/>
        <v>0</v>
      </c>
      <c r="F55" s="282">
        <f t="shared" si="2"/>
        <v>0</v>
      </c>
      <c r="G55" s="599"/>
      <c r="H55" s="600"/>
    </row>
    <row r="56" spans="1:8" s="39" customFormat="1" ht="12.75">
      <c r="A56" s="590" t="s">
        <v>74</v>
      </c>
      <c r="B56" s="591"/>
      <c r="C56" s="591"/>
      <c r="D56" s="591"/>
      <c r="E56" s="592"/>
      <c r="F56" s="288">
        <f>SUM(F17:F55)</f>
        <v>48773.76</v>
      </c>
      <c r="G56" s="593"/>
      <c r="H56" s="594"/>
    </row>
    <row r="57" spans="1:8" s="39" customFormat="1" ht="12.75">
      <c r="A57" s="580" t="s">
        <v>174</v>
      </c>
      <c r="B57" s="581"/>
      <c r="C57" s="581"/>
      <c r="D57" s="581"/>
      <c r="E57" s="582"/>
      <c r="F57" s="289">
        <f>'тарификация 01.10'!Q482</f>
        <v>12193.44</v>
      </c>
      <c r="G57" s="595"/>
      <c r="H57" s="596"/>
    </row>
    <row r="58" spans="1:9" s="39" customFormat="1" ht="12.75">
      <c r="A58" s="580" t="s">
        <v>175</v>
      </c>
      <c r="B58" s="581"/>
      <c r="C58" s="581"/>
      <c r="D58" s="581"/>
      <c r="E58" s="582"/>
      <c r="F58" s="289">
        <f>'тарификация 01.10'!Q484</f>
        <v>6909.48</v>
      </c>
      <c r="G58" s="583"/>
      <c r="H58" s="584"/>
      <c r="I58" s="290"/>
    </row>
    <row r="59" spans="1:8" s="39" customFormat="1" ht="12.75">
      <c r="A59" s="580" t="s">
        <v>176</v>
      </c>
      <c r="B59" s="581"/>
      <c r="C59" s="581"/>
      <c r="D59" s="581"/>
      <c r="E59" s="582"/>
      <c r="F59" s="289">
        <f>(F56+F57+F58)*0.15</f>
        <v>10181.5</v>
      </c>
      <c r="G59" s="583"/>
      <c r="H59" s="584"/>
    </row>
    <row r="60" spans="1:8" s="39" customFormat="1" ht="12.75">
      <c r="A60" s="580" t="s">
        <v>177</v>
      </c>
      <c r="B60" s="581"/>
      <c r="C60" s="581"/>
      <c r="D60" s="581"/>
      <c r="E60" s="582"/>
      <c r="F60" s="289">
        <f>F56+F57+F58+F59</f>
        <v>78058.18</v>
      </c>
      <c r="G60" s="583"/>
      <c r="H60" s="584"/>
    </row>
    <row r="61" spans="1:9" s="39" customFormat="1" ht="13.5" thickBot="1">
      <c r="A61" s="585" t="s">
        <v>178</v>
      </c>
      <c r="B61" s="586"/>
      <c r="C61" s="586"/>
      <c r="D61" s="586"/>
      <c r="E61" s="587"/>
      <c r="F61" s="291">
        <f>F60*1.302</f>
        <v>101631.75</v>
      </c>
      <c r="G61" s="588"/>
      <c r="H61" s="589"/>
      <c r="I61" s="52"/>
    </row>
    <row r="62" spans="1:5" ht="15.75">
      <c r="A62" s="292"/>
      <c r="B62" s="292"/>
      <c r="C62" s="292"/>
      <c r="D62" s="292"/>
      <c r="E62" s="292"/>
    </row>
    <row r="63" ht="12.75">
      <c r="F63" s="50"/>
    </row>
    <row r="66" spans="2:4" ht="12.75">
      <c r="B66" s="39" t="s">
        <v>210</v>
      </c>
      <c r="D66" s="189" t="s">
        <v>221</v>
      </c>
    </row>
  </sheetData>
  <sheetProtection/>
  <mergeCells count="58">
    <mergeCell ref="G5:H5"/>
    <mergeCell ref="G6:H6"/>
    <mergeCell ref="G7:H7"/>
    <mergeCell ref="A15:B15"/>
    <mergeCell ref="G15:H15"/>
    <mergeCell ref="A16:B16"/>
    <mergeCell ref="G16:H16"/>
    <mergeCell ref="G17:H17"/>
    <mergeCell ref="G18:H18"/>
    <mergeCell ref="G19:H19"/>
    <mergeCell ref="G20:H20"/>
    <mergeCell ref="G24:H24"/>
    <mergeCell ref="G25:H25"/>
    <mergeCell ref="G21:H21"/>
    <mergeCell ref="G22:H22"/>
    <mergeCell ref="G23:H23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A56:E56"/>
    <mergeCell ref="G56:H56"/>
    <mergeCell ref="A57:E57"/>
    <mergeCell ref="G57:H57"/>
    <mergeCell ref="A58:E58"/>
    <mergeCell ref="G58:H58"/>
    <mergeCell ref="A59:E59"/>
    <mergeCell ref="G59:H59"/>
    <mergeCell ref="A60:E60"/>
    <mergeCell ref="G60:H60"/>
    <mergeCell ref="A61:E61"/>
    <mergeCell ref="G61:H61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3"/>
  <sheetViews>
    <sheetView tabSelected="1" zoomScalePageLayoutView="0" workbookViewId="0" topLeftCell="A1">
      <selection activeCell="B58" sqref="A58:IV64"/>
    </sheetView>
  </sheetViews>
  <sheetFormatPr defaultColWidth="9.00390625" defaultRowHeight="12.75"/>
  <cols>
    <col min="1" max="1" width="37.875" style="191" customWidth="1"/>
    <col min="2" max="2" width="7.75390625" style="191" customWidth="1"/>
    <col min="3" max="3" width="13.375" style="191" customWidth="1"/>
    <col min="4" max="4" width="15.00390625" style="191" customWidth="1"/>
    <col min="5" max="5" width="14.875" style="191" customWidth="1"/>
    <col min="6" max="6" width="15.125" style="191" customWidth="1"/>
    <col min="7" max="7" width="13.875" style="191" customWidth="1"/>
    <col min="8" max="8" width="12.625" style="191" customWidth="1"/>
    <col min="9" max="9" width="12.75390625" style="191" customWidth="1"/>
    <col min="10" max="10" width="13.875" style="191" customWidth="1"/>
    <col min="11" max="28" width="13.875" style="191" hidden="1" customWidth="1"/>
    <col min="29" max="29" width="18.625" style="191" customWidth="1"/>
    <col min="30" max="30" width="12.375" style="191" customWidth="1"/>
    <col min="31" max="40" width="9.125" style="191" customWidth="1"/>
    <col min="41" max="41" width="9.125" style="193" customWidth="1"/>
    <col min="42" max="16384" width="9.125" style="191" customWidth="1"/>
  </cols>
  <sheetData>
    <row r="1" spans="1:29" ht="12.75">
      <c r="A1" s="49" t="s">
        <v>226</v>
      </c>
      <c r="F1" s="192" t="s">
        <v>10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51"/>
    </row>
    <row r="2" spans="6:29" ht="12.75">
      <c r="F2" s="191" t="s">
        <v>210</v>
      </c>
      <c r="AC2" s="51" t="s">
        <v>221</v>
      </c>
    </row>
    <row r="3" ht="12.75">
      <c r="AC3" s="51"/>
    </row>
    <row r="5" spans="1:29" ht="12.75">
      <c r="A5" s="577" t="s">
        <v>182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</row>
    <row r="6" spans="1:29" ht="12.75">
      <c r="A6" s="576" t="s">
        <v>256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</row>
    <row r="7" spans="1:29" ht="12.75">
      <c r="A7" s="576"/>
      <c r="B7" s="57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94"/>
    </row>
    <row r="8" spans="1:29" ht="13.5" thickBo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66" customHeight="1" thickBot="1">
      <c r="A9" s="197" t="s">
        <v>17</v>
      </c>
      <c r="B9" s="198" t="s">
        <v>18</v>
      </c>
      <c r="C9" s="199" t="str">
        <f>доходы!B11</f>
        <v>Танцевальная студия - 1</v>
      </c>
      <c r="D9" s="200" t="str">
        <f>доходы!B13</f>
        <v>Творческая студия</v>
      </c>
      <c r="E9" s="201" t="str">
        <f>доходы!B15</f>
        <v>Услуга логопедической помощи</v>
      </c>
      <c r="F9" s="202" t="str">
        <f>доходы!B17</f>
        <v>Мультстудия</v>
      </c>
      <c r="G9" s="199" t="str">
        <f>доходы!B19</f>
        <v>Танцевальная студия - 2</v>
      </c>
      <c r="H9" s="200" t="str">
        <f>доходы!B20</f>
        <v>Творческая студия "Акварелька"-1</v>
      </c>
      <c r="I9" s="202" t="str">
        <f>доходы!B21</f>
        <v>Творческая студия "Акварелька"</v>
      </c>
      <c r="J9" s="199" t="str">
        <f>доходы!B22</f>
        <v>Студия конструирования "Йохокуб"</v>
      </c>
      <c r="K9" s="203" t="e">
        <f>доходы!#REF!</f>
        <v>#REF!</v>
      </c>
      <c r="L9" s="199" t="e">
        <f>доходы!#REF!</f>
        <v>#REF!</v>
      </c>
      <c r="M9" s="200" t="e">
        <f>доходы!#REF!</f>
        <v>#REF!</v>
      </c>
      <c r="N9" s="201">
        <f>доходы!B23</f>
        <v>0</v>
      </c>
      <c r="O9" s="201" t="str">
        <f>доходы!B24</f>
        <v>услуга 13</v>
      </c>
      <c r="P9" s="201" t="str">
        <f>доходы!B25</f>
        <v>услуга 14</v>
      </c>
      <c r="Q9" s="201" t="str">
        <f>доходы!B26</f>
        <v>услуга 15</v>
      </c>
      <c r="R9" s="201" t="str">
        <f>доходы!B27</f>
        <v>услуга 16</v>
      </c>
      <c r="S9" s="201" t="str">
        <f>доходы!B28</f>
        <v>услуга 17</v>
      </c>
      <c r="T9" s="201" t="str">
        <f>доходы!B29</f>
        <v>услуга 18</v>
      </c>
      <c r="U9" s="201" t="str">
        <f>доходы!B30</f>
        <v>услуга 19</v>
      </c>
      <c r="V9" s="201" t="str">
        <f>доходы!B31</f>
        <v>услуга 20</v>
      </c>
      <c r="W9" s="201" t="str">
        <f>доходы!B32</f>
        <v>услуга 21</v>
      </c>
      <c r="X9" s="201" t="str">
        <f>доходы!B33</f>
        <v>услуга 22</v>
      </c>
      <c r="Y9" s="201" t="str">
        <f>доходы!B34</f>
        <v>услуга 23</v>
      </c>
      <c r="Z9" s="201" t="str">
        <f>доходы!B35</f>
        <v>услуга 24</v>
      </c>
      <c r="AA9" s="201" t="str">
        <f>доходы!B36</f>
        <v>услуга 25</v>
      </c>
      <c r="AB9" s="201" t="str">
        <f>доходы!B37</f>
        <v>услуга 26</v>
      </c>
      <c r="AC9" s="201" t="s">
        <v>49</v>
      </c>
    </row>
    <row r="10" spans="1:29" ht="13.5" thickBot="1">
      <c r="A10" s="204"/>
      <c r="B10" s="204"/>
      <c r="C10" s="205">
        <f>'расчет%'!H46</f>
        <v>25.83</v>
      </c>
      <c r="D10" s="206">
        <f>'расчет%'!H47</f>
        <v>20.31</v>
      </c>
      <c r="E10" s="208">
        <f>'расчет%'!H48</f>
        <v>16.78</v>
      </c>
      <c r="F10" s="205">
        <f>'расчет%'!H49</f>
        <v>3.97</v>
      </c>
      <c r="G10" s="205">
        <f>'расчет%'!H50</f>
        <v>4.42</v>
      </c>
      <c r="H10" s="206">
        <f>'расчет%'!H51</f>
        <v>3.97</v>
      </c>
      <c r="I10" s="293">
        <f>'расчет%'!H52</f>
        <v>15.45</v>
      </c>
      <c r="J10" s="209">
        <f>'расчет%'!H53</f>
        <v>9.27</v>
      </c>
      <c r="K10" s="209">
        <f>'расчет%'!H25</f>
        <v>0</v>
      </c>
      <c r="L10" s="205">
        <f>'расчет%'!H26</f>
        <v>0</v>
      </c>
      <c r="M10" s="206">
        <f>'расчет%'!H27</f>
        <v>0</v>
      </c>
      <c r="N10" s="206">
        <f>'расчет%'!H28</f>
        <v>0</v>
      </c>
      <c r="O10" s="206">
        <f>'расчет%'!H29</f>
        <v>0</v>
      </c>
      <c r="P10" s="206">
        <f>'расчет%'!H30</f>
        <v>0</v>
      </c>
      <c r="Q10" s="206">
        <f>'расчет%'!H31</f>
        <v>0</v>
      </c>
      <c r="R10" s="206">
        <f>'расчет%'!H32</f>
        <v>0</v>
      </c>
      <c r="S10" s="206">
        <f>'расчет%'!H33</f>
        <v>0</v>
      </c>
      <c r="T10" s="206">
        <f>'расчет%'!H34</f>
        <v>0</v>
      </c>
      <c r="U10" s="206">
        <f>'расчет%'!H35</f>
        <v>0</v>
      </c>
      <c r="V10" s="206">
        <f>'расчет%'!H36</f>
        <v>0</v>
      </c>
      <c r="W10" s="206">
        <f>'расчет%'!H37</f>
        <v>0</v>
      </c>
      <c r="X10" s="206">
        <f>'расчет%'!H38</f>
        <v>0</v>
      </c>
      <c r="Y10" s="206">
        <f>'расчет%'!H39</f>
        <v>0</v>
      </c>
      <c r="Z10" s="206">
        <f>'расчет%'!H40</f>
        <v>0</v>
      </c>
      <c r="AA10" s="206">
        <f>'расчет%'!H41</f>
        <v>0</v>
      </c>
      <c r="AB10" s="206">
        <f>'расчет%'!H42</f>
        <v>0</v>
      </c>
      <c r="AC10" s="210">
        <f>SUM(C10:AB10)</f>
        <v>100</v>
      </c>
    </row>
    <row r="11" spans="1:29" ht="12.75">
      <c r="A11" s="211" t="s">
        <v>19</v>
      </c>
      <c r="B11" s="212"/>
      <c r="C11" s="213"/>
      <c r="D11" s="214"/>
      <c r="E11" s="215"/>
      <c r="F11" s="213"/>
      <c r="G11" s="213"/>
      <c r="H11" s="214"/>
      <c r="I11" s="294"/>
      <c r="J11" s="214"/>
      <c r="K11" s="215"/>
      <c r="L11" s="213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</row>
    <row r="12" spans="1:30" ht="12.75">
      <c r="A12" s="217" t="s">
        <v>58</v>
      </c>
      <c r="B12" s="7">
        <v>211</v>
      </c>
      <c r="C12" s="218">
        <f>'тарификация 01.10'!S34</f>
        <v>12845.04</v>
      </c>
      <c r="D12" s="219">
        <f>'тарификация 01.10'!S50</f>
        <v>10093.32</v>
      </c>
      <c r="E12" s="220">
        <f>'тарификация 01.10'!S56</f>
        <v>8337.96</v>
      </c>
      <c r="F12" s="218">
        <f>'тарификация 01.10'!S72</f>
        <v>2964.24</v>
      </c>
      <c r="G12" s="218">
        <f>'тарификация 01.10'!S87</f>
        <v>2194.38</v>
      </c>
      <c r="H12" s="219">
        <f>'тарификация 01.10'!S93</f>
        <v>2633.04</v>
      </c>
      <c r="I12" s="247">
        <f>'тарификация 01.10'!S101</f>
        <v>5763.8</v>
      </c>
      <c r="J12" s="219">
        <f>'тарификация 01.10'!S109</f>
        <v>2633.04</v>
      </c>
      <c r="K12" s="220">
        <f>'тарификация '!S176</f>
        <v>0</v>
      </c>
      <c r="L12" s="218">
        <f>'тарификация '!S192</f>
        <v>0</v>
      </c>
      <c r="M12" s="219">
        <f>'тарификация '!S208</f>
        <v>0</v>
      </c>
      <c r="N12" s="219">
        <f>'тарификация '!S224</f>
        <v>0</v>
      </c>
      <c r="O12" s="219">
        <f>'тарификация '!S240</f>
        <v>0</v>
      </c>
      <c r="P12" s="219">
        <f>'тарификация '!S256</f>
        <v>0</v>
      </c>
      <c r="Q12" s="219">
        <f>'тарификация '!S272</f>
        <v>0</v>
      </c>
      <c r="R12" s="219">
        <f>'тарификация '!S288</f>
        <v>0</v>
      </c>
      <c r="S12" s="219">
        <f>'тарификация '!S304</f>
        <v>0</v>
      </c>
      <c r="T12" s="219">
        <f>'тарификация '!S320</f>
        <v>0</v>
      </c>
      <c r="U12" s="219">
        <f>'тарификация '!S336</f>
        <v>0</v>
      </c>
      <c r="V12" s="219">
        <f>'тарификация '!S352</f>
        <v>0</v>
      </c>
      <c r="W12" s="219">
        <f>'тарификация '!S368</f>
        <v>0</v>
      </c>
      <c r="X12" s="219">
        <f>'тарификация '!S384</f>
        <v>0</v>
      </c>
      <c r="Y12" s="219">
        <f>'тарификация '!S400</f>
        <v>0</v>
      </c>
      <c r="Z12" s="219">
        <f>'тарификация '!S416</f>
        <v>0</v>
      </c>
      <c r="AA12" s="219">
        <f>'тарификация '!S432</f>
        <v>0</v>
      </c>
      <c r="AB12" s="219">
        <f>'тарификация '!S448</f>
        <v>0</v>
      </c>
      <c r="AC12" s="219">
        <f>SUM(C12:AB12)</f>
        <v>47464.82</v>
      </c>
      <c r="AD12" s="221"/>
    </row>
    <row r="13" spans="1:29" ht="12.75">
      <c r="A13" s="222" t="s">
        <v>20</v>
      </c>
      <c r="B13" s="223">
        <v>213</v>
      </c>
      <c r="C13" s="218">
        <f>C12*0.302</f>
        <v>3879.2</v>
      </c>
      <c r="D13" s="218">
        <f aca="true" t="shared" si="0" ref="D13:J13">D12*0.302</f>
        <v>3048.18</v>
      </c>
      <c r="E13" s="218">
        <f t="shared" si="0"/>
        <v>2518.06</v>
      </c>
      <c r="F13" s="218">
        <f t="shared" si="0"/>
        <v>895.2</v>
      </c>
      <c r="G13" s="218">
        <f t="shared" si="0"/>
        <v>662.7</v>
      </c>
      <c r="H13" s="218">
        <f t="shared" si="0"/>
        <v>795.18</v>
      </c>
      <c r="I13" s="218">
        <f t="shared" si="0"/>
        <v>1740.67</v>
      </c>
      <c r="J13" s="218">
        <f t="shared" si="0"/>
        <v>795.18</v>
      </c>
      <c r="K13" s="220">
        <f aca="true" t="shared" si="1" ref="K13:AB13">K12*0.302</f>
        <v>0</v>
      </c>
      <c r="L13" s="218">
        <f t="shared" si="1"/>
        <v>0</v>
      </c>
      <c r="M13" s="219">
        <f t="shared" si="1"/>
        <v>0</v>
      </c>
      <c r="N13" s="219">
        <f t="shared" si="1"/>
        <v>0</v>
      </c>
      <c r="O13" s="219">
        <f t="shared" si="1"/>
        <v>0</v>
      </c>
      <c r="P13" s="219">
        <f t="shared" si="1"/>
        <v>0</v>
      </c>
      <c r="Q13" s="219">
        <f t="shared" si="1"/>
        <v>0</v>
      </c>
      <c r="R13" s="219">
        <f t="shared" si="1"/>
        <v>0</v>
      </c>
      <c r="S13" s="219">
        <f t="shared" si="1"/>
        <v>0</v>
      </c>
      <c r="T13" s="219">
        <f t="shared" si="1"/>
        <v>0</v>
      </c>
      <c r="U13" s="219">
        <f t="shared" si="1"/>
        <v>0</v>
      </c>
      <c r="V13" s="219">
        <f t="shared" si="1"/>
        <v>0</v>
      </c>
      <c r="W13" s="219">
        <f t="shared" si="1"/>
        <v>0</v>
      </c>
      <c r="X13" s="219">
        <f t="shared" si="1"/>
        <v>0</v>
      </c>
      <c r="Y13" s="219">
        <f t="shared" si="1"/>
        <v>0</v>
      </c>
      <c r="Z13" s="219">
        <f t="shared" si="1"/>
        <v>0</v>
      </c>
      <c r="AA13" s="219">
        <f t="shared" si="1"/>
        <v>0</v>
      </c>
      <c r="AB13" s="219">
        <f t="shared" si="1"/>
        <v>0</v>
      </c>
      <c r="AC13" s="219">
        <f aca="true" t="shared" si="2" ref="AC13:AC18">SUM(C13:AB13)</f>
        <v>14334.37</v>
      </c>
    </row>
    <row r="14" spans="1:29" ht="12.75">
      <c r="A14" s="217" t="s">
        <v>21</v>
      </c>
      <c r="B14" s="7">
        <v>211</v>
      </c>
      <c r="C14" s="218">
        <f>C12*'тарификация 01.10'!$S483%</f>
        <v>3211.26</v>
      </c>
      <c r="D14" s="219">
        <f>D12*'тарификация 01.10'!$S483%</f>
        <v>2523.33</v>
      </c>
      <c r="E14" s="220">
        <f>E12*'тарификация 01.10'!$S483%</f>
        <v>2084.49</v>
      </c>
      <c r="F14" s="218">
        <f>F12*'тарификация 01.10'!$S483%</f>
        <v>741.06</v>
      </c>
      <c r="G14" s="218">
        <f>G12*'тарификация 01.10'!$S483%</f>
        <v>548.6</v>
      </c>
      <c r="H14" s="219">
        <f>H12*'тарификация 01.10'!$S483%</f>
        <v>658.26</v>
      </c>
      <c r="I14" s="247">
        <f>I12*'тарификация 01.10'!$S483%</f>
        <v>1440.95</v>
      </c>
      <c r="J14" s="219">
        <f>J12*'тарификация 01.10'!$S483%</f>
        <v>658.26</v>
      </c>
      <c r="K14" s="220">
        <f>K12*'тарификация '!$S476%</f>
        <v>0</v>
      </c>
      <c r="L14" s="218">
        <f>L12*'тарификация '!$S476%</f>
        <v>0</v>
      </c>
      <c r="M14" s="219">
        <f>M12*'тарификация '!$S476%</f>
        <v>0</v>
      </c>
      <c r="N14" s="219">
        <f>N12*'тарификация '!$S476%</f>
        <v>0</v>
      </c>
      <c r="O14" s="219">
        <f>O12*'тарификация '!$S476%</f>
        <v>0</v>
      </c>
      <c r="P14" s="219">
        <f>P12*'тарификация '!$S476%</f>
        <v>0</v>
      </c>
      <c r="Q14" s="219">
        <f>Q12*'тарификация '!$S476%</f>
        <v>0</v>
      </c>
      <c r="R14" s="219">
        <f>R12*'тарификация '!$S476%</f>
        <v>0</v>
      </c>
      <c r="S14" s="219">
        <f>S12*'тарификация '!$S476%</f>
        <v>0</v>
      </c>
      <c r="T14" s="219">
        <f>T12*'тарификация '!$S476%</f>
        <v>0</v>
      </c>
      <c r="U14" s="219">
        <f>U12*'тарификация '!$S476%</f>
        <v>0</v>
      </c>
      <c r="V14" s="219">
        <f>V12*'тарификация '!$S476%</f>
        <v>0</v>
      </c>
      <c r="W14" s="219">
        <f>W12*'тарификация '!$S476%</f>
        <v>0</v>
      </c>
      <c r="X14" s="219">
        <f>X12*'тарификация '!$S476%</f>
        <v>0</v>
      </c>
      <c r="Y14" s="219">
        <f>Y12*'тарификация '!$S476%</f>
        <v>0</v>
      </c>
      <c r="Z14" s="219">
        <f>Z12*'тарификация '!$S476%</f>
        <v>0</v>
      </c>
      <c r="AA14" s="219">
        <f>AA12*'тарификация '!$S476%</f>
        <v>0</v>
      </c>
      <c r="AB14" s="219">
        <f>AB12*'тарификация '!$S476%</f>
        <v>0</v>
      </c>
      <c r="AC14" s="219">
        <f t="shared" si="2"/>
        <v>11866.21</v>
      </c>
    </row>
    <row r="15" spans="1:29" ht="12.75">
      <c r="A15" s="222" t="s">
        <v>22</v>
      </c>
      <c r="B15" s="223">
        <v>213</v>
      </c>
      <c r="C15" s="218">
        <f>C14*0.302</f>
        <v>969.8</v>
      </c>
      <c r="D15" s="218">
        <f aca="true" t="shared" si="3" ref="D15:J15">D14*0.302</f>
        <v>762.05</v>
      </c>
      <c r="E15" s="218">
        <f t="shared" si="3"/>
        <v>629.52</v>
      </c>
      <c r="F15" s="218">
        <f t="shared" si="3"/>
        <v>223.8</v>
      </c>
      <c r="G15" s="218">
        <f t="shared" si="3"/>
        <v>165.68</v>
      </c>
      <c r="H15" s="218">
        <f t="shared" si="3"/>
        <v>198.79</v>
      </c>
      <c r="I15" s="218">
        <f t="shared" si="3"/>
        <v>435.17</v>
      </c>
      <c r="J15" s="218">
        <f t="shared" si="3"/>
        <v>198.79</v>
      </c>
      <c r="K15" s="220">
        <f aca="true" t="shared" si="4" ref="K15:AB15">K14*0.302</f>
        <v>0</v>
      </c>
      <c r="L15" s="218">
        <f t="shared" si="4"/>
        <v>0</v>
      </c>
      <c r="M15" s="219">
        <f t="shared" si="4"/>
        <v>0</v>
      </c>
      <c r="N15" s="219">
        <f t="shared" si="4"/>
        <v>0</v>
      </c>
      <c r="O15" s="219">
        <f t="shared" si="4"/>
        <v>0</v>
      </c>
      <c r="P15" s="219">
        <f t="shared" si="4"/>
        <v>0</v>
      </c>
      <c r="Q15" s="219">
        <f t="shared" si="4"/>
        <v>0</v>
      </c>
      <c r="R15" s="219">
        <f t="shared" si="4"/>
        <v>0</v>
      </c>
      <c r="S15" s="219">
        <f t="shared" si="4"/>
        <v>0</v>
      </c>
      <c r="T15" s="219">
        <f t="shared" si="4"/>
        <v>0</v>
      </c>
      <c r="U15" s="219">
        <f t="shared" si="4"/>
        <v>0</v>
      </c>
      <c r="V15" s="219">
        <f t="shared" si="4"/>
        <v>0</v>
      </c>
      <c r="W15" s="219">
        <f t="shared" si="4"/>
        <v>0</v>
      </c>
      <c r="X15" s="219">
        <f t="shared" si="4"/>
        <v>0</v>
      </c>
      <c r="Y15" s="219">
        <f t="shared" si="4"/>
        <v>0</v>
      </c>
      <c r="Z15" s="219">
        <f t="shared" si="4"/>
        <v>0</v>
      </c>
      <c r="AA15" s="219">
        <f t="shared" si="4"/>
        <v>0</v>
      </c>
      <c r="AB15" s="219">
        <f t="shared" si="4"/>
        <v>0</v>
      </c>
      <c r="AC15" s="219">
        <f t="shared" si="2"/>
        <v>3583.6</v>
      </c>
    </row>
    <row r="16" spans="1:29" ht="12.75">
      <c r="A16" s="224" t="s">
        <v>59</v>
      </c>
      <c r="B16" s="223">
        <v>211</v>
      </c>
      <c r="C16" s="218">
        <f>(C12+C14)/29.3*42/12</f>
        <v>1917.99</v>
      </c>
      <c r="D16" s="218">
        <f aca="true" t="shared" si="5" ref="D16:J16">(D12+D14)/29.3*42/12</f>
        <v>1507.11</v>
      </c>
      <c r="E16" s="218">
        <f t="shared" si="5"/>
        <v>1245</v>
      </c>
      <c r="F16" s="218">
        <f t="shared" si="5"/>
        <v>442.61</v>
      </c>
      <c r="G16" s="218">
        <f t="shared" si="5"/>
        <v>327.66</v>
      </c>
      <c r="H16" s="218">
        <f t="shared" si="5"/>
        <v>393.16</v>
      </c>
      <c r="I16" s="218">
        <f t="shared" si="5"/>
        <v>860.64</v>
      </c>
      <c r="J16" s="218">
        <f t="shared" si="5"/>
        <v>393.16</v>
      </c>
      <c r="K16" s="220">
        <f aca="true" t="shared" si="6" ref="K16:AB16">(K12+K14)/29.3*42/12</f>
        <v>0</v>
      </c>
      <c r="L16" s="218">
        <f t="shared" si="6"/>
        <v>0</v>
      </c>
      <c r="M16" s="219">
        <f t="shared" si="6"/>
        <v>0</v>
      </c>
      <c r="N16" s="219">
        <f t="shared" si="6"/>
        <v>0</v>
      </c>
      <c r="O16" s="219">
        <f t="shared" si="6"/>
        <v>0</v>
      </c>
      <c r="P16" s="219">
        <f t="shared" si="6"/>
        <v>0</v>
      </c>
      <c r="Q16" s="219">
        <f t="shared" si="6"/>
        <v>0</v>
      </c>
      <c r="R16" s="219">
        <f t="shared" si="6"/>
        <v>0</v>
      </c>
      <c r="S16" s="219">
        <f t="shared" si="6"/>
        <v>0</v>
      </c>
      <c r="T16" s="219">
        <f t="shared" si="6"/>
        <v>0</v>
      </c>
      <c r="U16" s="219">
        <f t="shared" si="6"/>
        <v>0</v>
      </c>
      <c r="V16" s="219">
        <f t="shared" si="6"/>
        <v>0</v>
      </c>
      <c r="W16" s="219">
        <f t="shared" si="6"/>
        <v>0</v>
      </c>
      <c r="X16" s="219">
        <f t="shared" si="6"/>
        <v>0</v>
      </c>
      <c r="Y16" s="219">
        <f t="shared" si="6"/>
        <v>0</v>
      </c>
      <c r="Z16" s="219">
        <f t="shared" si="6"/>
        <v>0</v>
      </c>
      <c r="AA16" s="219">
        <f t="shared" si="6"/>
        <v>0</v>
      </c>
      <c r="AB16" s="219">
        <f t="shared" si="6"/>
        <v>0</v>
      </c>
      <c r="AC16" s="219">
        <f t="shared" si="2"/>
        <v>7087.33</v>
      </c>
    </row>
    <row r="17" spans="1:29" ht="12.75">
      <c r="A17" s="224" t="s">
        <v>24</v>
      </c>
      <c r="B17" s="223">
        <v>213</v>
      </c>
      <c r="C17" s="218">
        <f>C16*0.302</f>
        <v>579.23</v>
      </c>
      <c r="D17" s="218">
        <f aca="true" t="shared" si="7" ref="D17:J17">D16*0.302</f>
        <v>455.15</v>
      </c>
      <c r="E17" s="218">
        <f t="shared" si="7"/>
        <v>375.99</v>
      </c>
      <c r="F17" s="218">
        <f t="shared" si="7"/>
        <v>133.67</v>
      </c>
      <c r="G17" s="218">
        <f t="shared" si="7"/>
        <v>98.95</v>
      </c>
      <c r="H17" s="218">
        <f t="shared" si="7"/>
        <v>118.73</v>
      </c>
      <c r="I17" s="218">
        <f t="shared" si="7"/>
        <v>259.91</v>
      </c>
      <c r="J17" s="218">
        <f t="shared" si="7"/>
        <v>118.73</v>
      </c>
      <c r="K17" s="220">
        <f aca="true" t="shared" si="8" ref="K17:AB17">K16*0.302</f>
        <v>0</v>
      </c>
      <c r="L17" s="218">
        <f t="shared" si="8"/>
        <v>0</v>
      </c>
      <c r="M17" s="219">
        <f t="shared" si="8"/>
        <v>0</v>
      </c>
      <c r="N17" s="219">
        <f t="shared" si="8"/>
        <v>0</v>
      </c>
      <c r="O17" s="219">
        <f t="shared" si="8"/>
        <v>0</v>
      </c>
      <c r="P17" s="219">
        <f t="shared" si="8"/>
        <v>0</v>
      </c>
      <c r="Q17" s="219">
        <f t="shared" si="8"/>
        <v>0</v>
      </c>
      <c r="R17" s="219">
        <f t="shared" si="8"/>
        <v>0</v>
      </c>
      <c r="S17" s="219">
        <f t="shared" si="8"/>
        <v>0</v>
      </c>
      <c r="T17" s="219">
        <f t="shared" si="8"/>
        <v>0</v>
      </c>
      <c r="U17" s="219">
        <f t="shared" si="8"/>
        <v>0</v>
      </c>
      <c r="V17" s="219">
        <f t="shared" si="8"/>
        <v>0</v>
      </c>
      <c r="W17" s="219">
        <f t="shared" si="8"/>
        <v>0</v>
      </c>
      <c r="X17" s="219">
        <f t="shared" si="8"/>
        <v>0</v>
      </c>
      <c r="Y17" s="219">
        <f t="shared" si="8"/>
        <v>0</v>
      </c>
      <c r="Z17" s="219">
        <f t="shared" si="8"/>
        <v>0</v>
      </c>
      <c r="AA17" s="219">
        <f t="shared" si="8"/>
        <v>0</v>
      </c>
      <c r="AB17" s="219">
        <f t="shared" si="8"/>
        <v>0</v>
      </c>
      <c r="AC17" s="219">
        <f t="shared" si="2"/>
        <v>2140.36</v>
      </c>
    </row>
    <row r="18" spans="1:29" ht="13.5" thickBot="1">
      <c r="A18" s="224" t="s">
        <v>60</v>
      </c>
      <c r="B18" s="225">
        <v>346</v>
      </c>
      <c r="C18" s="218">
        <v>0</v>
      </c>
      <c r="D18" s="219"/>
      <c r="E18" s="220"/>
      <c r="F18" s="218"/>
      <c r="G18" s="218"/>
      <c r="H18" s="219"/>
      <c r="I18" s="247"/>
      <c r="J18" s="219"/>
      <c r="K18" s="220"/>
      <c r="L18" s="218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>
        <f t="shared" si="2"/>
        <v>0</v>
      </c>
    </row>
    <row r="19" spans="1:30" ht="13.5" thickBot="1">
      <c r="A19" s="204" t="s">
        <v>25</v>
      </c>
      <c r="B19" s="226"/>
      <c r="C19" s="227">
        <f aca="true" t="shared" si="9" ref="C19:AC19">SUM(C12:C18)</f>
        <v>23402.52</v>
      </c>
      <c r="D19" s="228">
        <f t="shared" si="9"/>
        <v>18389.14</v>
      </c>
      <c r="E19" s="229">
        <f t="shared" si="9"/>
        <v>15191.02</v>
      </c>
      <c r="F19" s="227">
        <f t="shared" si="9"/>
        <v>5400.58</v>
      </c>
      <c r="G19" s="227">
        <f t="shared" si="9"/>
        <v>3997.97</v>
      </c>
      <c r="H19" s="228">
        <f t="shared" si="9"/>
        <v>4797.16</v>
      </c>
      <c r="I19" s="273">
        <f t="shared" si="9"/>
        <v>10501.14</v>
      </c>
      <c r="J19" s="228">
        <f t="shared" si="9"/>
        <v>4797.16</v>
      </c>
      <c r="K19" s="229">
        <f t="shared" si="9"/>
        <v>0</v>
      </c>
      <c r="L19" s="227">
        <f t="shared" si="9"/>
        <v>0</v>
      </c>
      <c r="M19" s="228">
        <f t="shared" si="9"/>
        <v>0</v>
      </c>
      <c r="N19" s="228">
        <f t="shared" si="9"/>
        <v>0</v>
      </c>
      <c r="O19" s="228">
        <f t="shared" si="9"/>
        <v>0</v>
      </c>
      <c r="P19" s="228">
        <f t="shared" si="9"/>
        <v>0</v>
      </c>
      <c r="Q19" s="228">
        <f t="shared" si="9"/>
        <v>0</v>
      </c>
      <c r="R19" s="228">
        <f t="shared" si="9"/>
        <v>0</v>
      </c>
      <c r="S19" s="228">
        <f t="shared" si="9"/>
        <v>0</v>
      </c>
      <c r="T19" s="228">
        <f t="shared" si="9"/>
        <v>0</v>
      </c>
      <c r="U19" s="228">
        <f t="shared" si="9"/>
        <v>0</v>
      </c>
      <c r="V19" s="228">
        <f t="shared" si="9"/>
        <v>0</v>
      </c>
      <c r="W19" s="228">
        <f t="shared" si="9"/>
        <v>0</v>
      </c>
      <c r="X19" s="228">
        <f t="shared" si="9"/>
        <v>0</v>
      </c>
      <c r="Y19" s="228">
        <f t="shared" si="9"/>
        <v>0</v>
      </c>
      <c r="Z19" s="228">
        <f t="shared" si="9"/>
        <v>0</v>
      </c>
      <c r="AA19" s="228">
        <f t="shared" si="9"/>
        <v>0</v>
      </c>
      <c r="AB19" s="228">
        <f t="shared" si="9"/>
        <v>0</v>
      </c>
      <c r="AC19" s="228">
        <f t="shared" si="9"/>
        <v>86476.69</v>
      </c>
      <c r="AD19" s="221">
        <f>AC19+AC30+AC31+AC32+AC33+AC34+AC35+AC36+AC37</f>
        <v>101631.76</v>
      </c>
    </row>
    <row r="20" spans="1:29" ht="23.25" customHeight="1">
      <c r="A20" s="230" t="s">
        <v>26</v>
      </c>
      <c r="B20" s="231"/>
      <c r="C20" s="213"/>
      <c r="D20" s="214"/>
      <c r="E20" s="215"/>
      <c r="F20" s="213"/>
      <c r="G20" s="213"/>
      <c r="H20" s="214"/>
      <c r="I20" s="294"/>
      <c r="J20" s="214"/>
      <c r="K20" s="215"/>
      <c r="L20" s="213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9">
        <f aca="true" t="shared" si="10" ref="AC20:AC27">SUM(C20:AB20)</f>
        <v>0</v>
      </c>
    </row>
    <row r="21" spans="1:30" ht="12.75">
      <c r="A21" s="217" t="s">
        <v>27</v>
      </c>
      <c r="B21" s="7">
        <v>221</v>
      </c>
      <c r="C21" s="218">
        <f>'расчет%'!$H8*C10%</f>
        <v>70.72</v>
      </c>
      <c r="D21" s="219">
        <f>'расчет%'!$H8*D10%</f>
        <v>55.61</v>
      </c>
      <c r="E21" s="220">
        <f>'расчет%'!$H8*E10%</f>
        <v>45.94</v>
      </c>
      <c r="F21" s="218">
        <f>'расчет%'!$H8*F10%</f>
        <v>10.87</v>
      </c>
      <c r="G21" s="218">
        <f>'расчет%'!$H8*G10%</f>
        <v>12.1</v>
      </c>
      <c r="H21" s="219">
        <f>'расчет%'!$H8*H10%</f>
        <v>10.87</v>
      </c>
      <c r="I21" s="247">
        <f>'расчет%'!$H8*I10%</f>
        <v>42.3</v>
      </c>
      <c r="J21" s="219">
        <f>'расчет%'!$H8*J10%</f>
        <v>25.38</v>
      </c>
      <c r="K21" s="220">
        <f>'расчет%'!$H8*K10%</f>
        <v>0</v>
      </c>
      <c r="L21" s="218">
        <f>'расчет%'!$H8*L10%</f>
        <v>0</v>
      </c>
      <c r="M21" s="219">
        <f>'расчет%'!$H8*M10%</f>
        <v>0</v>
      </c>
      <c r="N21" s="219">
        <f>'расчет%'!$H8*N10%</f>
        <v>0</v>
      </c>
      <c r="O21" s="219">
        <f>'расчет%'!$H8*O10%</f>
        <v>0</v>
      </c>
      <c r="P21" s="219">
        <f>'расчет%'!$H8*P10%</f>
        <v>0</v>
      </c>
      <c r="Q21" s="219">
        <f>'расчет%'!$H8*Q10%</f>
        <v>0</v>
      </c>
      <c r="R21" s="219">
        <f>'расчет%'!$H8*R10%</f>
        <v>0</v>
      </c>
      <c r="S21" s="219">
        <f>'расчет%'!$H8*S10%</f>
        <v>0</v>
      </c>
      <c r="T21" s="219">
        <f>'расчет%'!$H8*T10%</f>
        <v>0</v>
      </c>
      <c r="U21" s="219">
        <f>'расчет%'!$H8*U10%</f>
        <v>0</v>
      </c>
      <c r="V21" s="219">
        <f>'расчет%'!$H8*V10%</f>
        <v>0</v>
      </c>
      <c r="W21" s="219">
        <f>'расчет%'!$H8*W10%</f>
        <v>0</v>
      </c>
      <c r="X21" s="219">
        <f>'расчет%'!$H8*X10%</f>
        <v>0</v>
      </c>
      <c r="Y21" s="219">
        <f>'расчет%'!$H8*Y10%</f>
        <v>0</v>
      </c>
      <c r="Z21" s="219">
        <f>'расчет%'!$H8*Z10%</f>
        <v>0</v>
      </c>
      <c r="AA21" s="219">
        <f>'расчет%'!$H8*AA10%</f>
        <v>0</v>
      </c>
      <c r="AB21" s="219">
        <f>'расчет%'!$H8*AB10%</f>
        <v>0</v>
      </c>
      <c r="AC21" s="219">
        <f t="shared" si="10"/>
        <v>273.79</v>
      </c>
      <c r="AD21" s="221"/>
    </row>
    <row r="22" spans="1:29" ht="12.75">
      <c r="A22" s="217" t="s">
        <v>28</v>
      </c>
      <c r="B22" s="7">
        <v>222</v>
      </c>
      <c r="C22" s="218">
        <v>0</v>
      </c>
      <c r="D22" s="219"/>
      <c r="E22" s="220"/>
      <c r="F22" s="218"/>
      <c r="G22" s="218"/>
      <c r="H22" s="219"/>
      <c r="I22" s="247"/>
      <c r="J22" s="219"/>
      <c r="K22" s="220"/>
      <c r="L22" s="218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>
        <f t="shared" si="10"/>
        <v>0</v>
      </c>
    </row>
    <row r="23" spans="1:29" ht="12.75">
      <c r="A23" s="217" t="s">
        <v>29</v>
      </c>
      <c r="B23" s="7">
        <v>223</v>
      </c>
      <c r="C23" s="218">
        <f>'расчет%'!$H9*C10%</f>
        <v>3313.13</v>
      </c>
      <c r="D23" s="219">
        <f>'расчет%'!$H9*D10%</f>
        <v>2605.1</v>
      </c>
      <c r="E23" s="220">
        <f>'расчет%'!$H9*E10%</f>
        <v>2152.32</v>
      </c>
      <c r="F23" s="218">
        <f>'расчет%'!$H9*F10%</f>
        <v>509.22</v>
      </c>
      <c r="G23" s="218">
        <f>'расчет%'!$H9*G10%</f>
        <v>566.94</v>
      </c>
      <c r="H23" s="219">
        <f>'расчет%'!$H9*H10%</f>
        <v>509.22</v>
      </c>
      <c r="I23" s="247">
        <f>'расчет%'!$H9*I10%</f>
        <v>1981.72</v>
      </c>
      <c r="J23" s="219">
        <f>'расчет%'!$H9*J10%</f>
        <v>1189.03</v>
      </c>
      <c r="K23" s="220">
        <f>'расчет%'!$H9*K10%</f>
        <v>0</v>
      </c>
      <c r="L23" s="218">
        <f>'расчет%'!$H9*L10%</f>
        <v>0</v>
      </c>
      <c r="M23" s="219">
        <f>'расчет%'!$H9*M10%</f>
        <v>0</v>
      </c>
      <c r="N23" s="219">
        <f>'расчет%'!$H9*N10%</f>
        <v>0</v>
      </c>
      <c r="O23" s="219">
        <f>'расчет%'!$H9*O10%</f>
        <v>0</v>
      </c>
      <c r="P23" s="219">
        <f>'расчет%'!$H9*P10%</f>
        <v>0</v>
      </c>
      <c r="Q23" s="219">
        <f>'расчет%'!$H9*Q10%</f>
        <v>0</v>
      </c>
      <c r="R23" s="219">
        <f>'расчет%'!$H9*R10%</f>
        <v>0</v>
      </c>
      <c r="S23" s="219">
        <f>'расчет%'!$H9*S10%</f>
        <v>0</v>
      </c>
      <c r="T23" s="219">
        <f>'расчет%'!$H9*T10%</f>
        <v>0</v>
      </c>
      <c r="U23" s="219">
        <f>'расчет%'!$H9*U10%</f>
        <v>0</v>
      </c>
      <c r="V23" s="219">
        <f>'расчет%'!$H9*V10%</f>
        <v>0</v>
      </c>
      <c r="W23" s="219">
        <f>'расчет%'!$H9*W10%</f>
        <v>0</v>
      </c>
      <c r="X23" s="219">
        <f>'расчет%'!$H9*X10%</f>
        <v>0</v>
      </c>
      <c r="Y23" s="219">
        <f>'расчет%'!$H9*Y10%</f>
        <v>0</v>
      </c>
      <c r="Z23" s="219">
        <f>'расчет%'!$H9*Z10%</f>
        <v>0</v>
      </c>
      <c r="AA23" s="219">
        <f>'расчет%'!$H9*AA10%</f>
        <v>0</v>
      </c>
      <c r="AB23" s="219">
        <f>'расчет%'!$H9*AB10%</f>
        <v>0</v>
      </c>
      <c r="AC23" s="219">
        <f t="shared" si="10"/>
        <v>12826.68</v>
      </c>
    </row>
    <row r="24" spans="1:29" ht="12.75">
      <c r="A24" s="217" t="s">
        <v>159</v>
      </c>
      <c r="B24" s="7">
        <v>225</v>
      </c>
      <c r="C24" s="218">
        <f>'расчет%'!$H10*C10%</f>
        <v>513.48</v>
      </c>
      <c r="D24" s="219">
        <f>'расчет%'!$H10*D10%</f>
        <v>403.75</v>
      </c>
      <c r="E24" s="220">
        <f>'расчет%'!$H10*E10%</f>
        <v>333.57</v>
      </c>
      <c r="F24" s="218">
        <f>'расчет%'!$H10*F10%</f>
        <v>78.92</v>
      </c>
      <c r="G24" s="218">
        <f>'расчет%'!$H10*G10%</f>
        <v>87.87</v>
      </c>
      <c r="H24" s="219">
        <f>'расчет%'!$H10*H10%</f>
        <v>78.92</v>
      </c>
      <c r="I24" s="247">
        <f>'расчет%'!$H10*I10%</f>
        <v>307.14</v>
      </c>
      <c r="J24" s="219">
        <f>'расчет%'!$H10*J10%</f>
        <v>184.28</v>
      </c>
      <c r="K24" s="220">
        <f>'расчет%'!$H10*K10%</f>
        <v>0</v>
      </c>
      <c r="L24" s="218">
        <f>'расчет%'!$H10*L10%</f>
        <v>0</v>
      </c>
      <c r="M24" s="219">
        <f>'расчет%'!$H10*M10%</f>
        <v>0</v>
      </c>
      <c r="N24" s="219">
        <f>'расчет%'!$H10*N10%</f>
        <v>0</v>
      </c>
      <c r="O24" s="219">
        <f>'расчет%'!$H10*O10%</f>
        <v>0</v>
      </c>
      <c r="P24" s="219">
        <f>'расчет%'!$H10*P10%</f>
        <v>0</v>
      </c>
      <c r="Q24" s="219">
        <f>'расчет%'!$H10*Q10%</f>
        <v>0</v>
      </c>
      <c r="R24" s="219">
        <f>'расчет%'!$H10*R10%</f>
        <v>0</v>
      </c>
      <c r="S24" s="219">
        <f>'расчет%'!$H10*S10%</f>
        <v>0</v>
      </c>
      <c r="T24" s="219">
        <f>'расчет%'!$H10*T10%</f>
        <v>0</v>
      </c>
      <c r="U24" s="219">
        <f>'расчет%'!$H10*U10%</f>
        <v>0</v>
      </c>
      <c r="V24" s="219">
        <f>'расчет%'!$H10*V10%</f>
        <v>0</v>
      </c>
      <c r="W24" s="219">
        <f>'расчет%'!$H10*W10%</f>
        <v>0</v>
      </c>
      <c r="X24" s="219">
        <f>'расчет%'!$H10*X10%</f>
        <v>0</v>
      </c>
      <c r="Y24" s="219">
        <f>'расчет%'!$H10*Y10%</f>
        <v>0</v>
      </c>
      <c r="Z24" s="219">
        <f>'расчет%'!$H10*Z10%</f>
        <v>0</v>
      </c>
      <c r="AA24" s="219">
        <f>'расчет%'!$H10*AA10%</f>
        <v>0</v>
      </c>
      <c r="AB24" s="219">
        <f>'расчет%'!$H10*AB10%</f>
        <v>0</v>
      </c>
      <c r="AC24" s="219">
        <f t="shared" si="10"/>
        <v>1987.93</v>
      </c>
    </row>
    <row r="25" spans="1:29" ht="12.75">
      <c r="A25" s="330" t="s">
        <v>183</v>
      </c>
      <c r="B25" s="7">
        <v>225</v>
      </c>
      <c r="C25" s="218"/>
      <c r="D25" s="219"/>
      <c r="E25" s="220"/>
      <c r="F25" s="218"/>
      <c r="G25" s="218"/>
      <c r="H25" s="219"/>
      <c r="I25" s="219"/>
      <c r="J25" s="219"/>
      <c r="K25" s="220"/>
      <c r="L25" s="218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>
        <f t="shared" si="10"/>
        <v>0</v>
      </c>
    </row>
    <row r="26" spans="1:29" ht="12.75">
      <c r="A26" s="224" t="s">
        <v>60</v>
      </c>
      <c r="B26" s="7">
        <v>346</v>
      </c>
      <c r="C26" s="218"/>
      <c r="D26" s="219"/>
      <c r="E26" s="220"/>
      <c r="F26" s="218"/>
      <c r="G26" s="218"/>
      <c r="H26" s="219"/>
      <c r="I26" s="219"/>
      <c r="J26" s="219"/>
      <c r="K26" s="220"/>
      <c r="L26" s="218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>
        <f t="shared" si="10"/>
        <v>0</v>
      </c>
    </row>
    <row r="27" spans="1:29" ht="13.5" thickBot="1">
      <c r="A27" s="217" t="s">
        <v>30</v>
      </c>
      <c r="B27" s="7"/>
      <c r="C27" s="218">
        <v>0</v>
      </c>
      <c r="D27" s="219"/>
      <c r="E27" s="220"/>
      <c r="F27" s="218"/>
      <c r="G27" s="218"/>
      <c r="H27" s="219"/>
      <c r="I27" s="247"/>
      <c r="J27" s="219"/>
      <c r="K27" s="220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>
        <f t="shared" si="10"/>
        <v>0</v>
      </c>
    </row>
    <row r="28" spans="1:29" ht="13.5" thickBot="1">
      <c r="A28" s="204" t="s">
        <v>31</v>
      </c>
      <c r="B28" s="226"/>
      <c r="C28" s="227">
        <f aca="true" t="shared" si="11" ref="C28:AC28">SUM(C21:C26)</f>
        <v>3897.33</v>
      </c>
      <c r="D28" s="228">
        <f t="shared" si="11"/>
        <v>3064.46</v>
      </c>
      <c r="E28" s="229">
        <f t="shared" si="11"/>
        <v>2531.83</v>
      </c>
      <c r="F28" s="227">
        <f t="shared" si="11"/>
        <v>599.01</v>
      </c>
      <c r="G28" s="227">
        <f t="shared" si="11"/>
        <v>666.91</v>
      </c>
      <c r="H28" s="228">
        <f t="shared" si="11"/>
        <v>599.01</v>
      </c>
      <c r="I28" s="273">
        <f t="shared" si="11"/>
        <v>2331.16</v>
      </c>
      <c r="J28" s="228">
        <f t="shared" si="11"/>
        <v>1398.69</v>
      </c>
      <c r="K28" s="229">
        <f t="shared" si="11"/>
        <v>0</v>
      </c>
      <c r="L28" s="227">
        <f t="shared" si="11"/>
        <v>0</v>
      </c>
      <c r="M28" s="228">
        <f t="shared" si="11"/>
        <v>0</v>
      </c>
      <c r="N28" s="228">
        <f t="shared" si="11"/>
        <v>0</v>
      </c>
      <c r="O28" s="228">
        <f t="shared" si="11"/>
        <v>0</v>
      </c>
      <c r="P28" s="228">
        <f t="shared" si="11"/>
        <v>0</v>
      </c>
      <c r="Q28" s="228">
        <f t="shared" si="11"/>
        <v>0</v>
      </c>
      <c r="R28" s="228">
        <f t="shared" si="11"/>
        <v>0</v>
      </c>
      <c r="S28" s="228">
        <f t="shared" si="11"/>
        <v>0</v>
      </c>
      <c r="T28" s="228">
        <f t="shared" si="11"/>
        <v>0</v>
      </c>
      <c r="U28" s="228">
        <f t="shared" si="11"/>
        <v>0</v>
      </c>
      <c r="V28" s="228">
        <f t="shared" si="11"/>
        <v>0</v>
      </c>
      <c r="W28" s="228">
        <f t="shared" si="11"/>
        <v>0</v>
      </c>
      <c r="X28" s="228">
        <f t="shared" si="11"/>
        <v>0</v>
      </c>
      <c r="Y28" s="228">
        <f t="shared" si="11"/>
        <v>0</v>
      </c>
      <c r="Z28" s="228">
        <f t="shared" si="11"/>
        <v>0</v>
      </c>
      <c r="AA28" s="228">
        <f t="shared" si="11"/>
        <v>0</v>
      </c>
      <c r="AB28" s="228">
        <f t="shared" si="11"/>
        <v>0</v>
      </c>
      <c r="AC28" s="228">
        <f t="shared" si="11"/>
        <v>15088.4</v>
      </c>
    </row>
    <row r="29" spans="1:29" ht="12.75">
      <c r="A29" s="232" t="s">
        <v>32</v>
      </c>
      <c r="B29" s="223"/>
      <c r="C29" s="218"/>
      <c r="D29" s="219"/>
      <c r="E29" s="220"/>
      <c r="F29" s="218"/>
      <c r="G29" s="218"/>
      <c r="H29" s="219"/>
      <c r="I29" s="247"/>
      <c r="J29" s="219"/>
      <c r="K29" s="220"/>
      <c r="L29" s="218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>
        <f aca="true" t="shared" si="12" ref="AC29:AC42">SUM(C29:AB29)</f>
        <v>0</v>
      </c>
    </row>
    <row r="30" spans="1:29" ht="17.25" customHeight="1">
      <c r="A30" s="233" t="s">
        <v>149</v>
      </c>
      <c r="B30" s="7">
        <v>211</v>
      </c>
      <c r="C30" s="218">
        <f>C12*'тарификация 01.10'!$Q475/'тарификация 01.10'!$Q457</f>
        <v>2334.12</v>
      </c>
      <c r="D30" s="219">
        <f>D12*'тарификация 01.10'!$Q475/'тарификация 01.10'!$Q457</f>
        <v>1834.09</v>
      </c>
      <c r="E30" s="220">
        <f>E12*'тарификация 01.10'!$Q475/'тарификация 01.10'!$Q457</f>
        <v>1515.12</v>
      </c>
      <c r="F30" s="218">
        <f>F12*'тарификация 01.10'!$Q475/'тарификация 01.10'!$Q457</f>
        <v>538.64</v>
      </c>
      <c r="G30" s="218">
        <f>G12*'тарификация 01.10'!$Q475/'тарификация 01.10'!$Q457</f>
        <v>398.75</v>
      </c>
      <c r="H30" s="219">
        <f>H12*'тарификация 01.10'!$Q475/'тарификация 01.10'!$Q457</f>
        <v>478.46</v>
      </c>
      <c r="I30" s="247">
        <f>I12*'тарификация 01.10'!$Q475/'тарификация 01.10'!$Q457</f>
        <v>1047.36</v>
      </c>
      <c r="J30" s="219">
        <f>J12*'тарификация 01.10'!$Q475/'тарификация 01.10'!$Q457</f>
        <v>478.46</v>
      </c>
      <c r="K30" s="220">
        <f>K12*'тарификация '!$Q468/'тарификация '!$Q450</f>
        <v>0</v>
      </c>
      <c r="L30" s="218">
        <f>L12*'тарификация '!$Q468/'тарификация '!$Q450</f>
        <v>0</v>
      </c>
      <c r="M30" s="219">
        <f>M12*'тарификация '!$Q468/'тарификация '!$Q450</f>
        <v>0</v>
      </c>
      <c r="N30" s="219">
        <f>N12*'тарификация '!$Q468/'тарификация '!$Q450</f>
        <v>0</v>
      </c>
      <c r="O30" s="219">
        <f>O12*'тарификация '!$Q468/'тарификация '!$Q450</f>
        <v>0</v>
      </c>
      <c r="P30" s="219">
        <f>P12*'тарификация '!$Q468/'тарификация '!$Q450</f>
        <v>0</v>
      </c>
      <c r="Q30" s="219">
        <f>Q12*'тарификация '!$Q468/'тарификация '!$Q450</f>
        <v>0</v>
      </c>
      <c r="R30" s="219">
        <f>R12*'тарификация '!$Q468/'тарификация '!$Q450</f>
        <v>0</v>
      </c>
      <c r="S30" s="219">
        <f>S12*'тарификация '!$Q468/'тарификация '!$Q450</f>
        <v>0</v>
      </c>
      <c r="T30" s="219">
        <f>T12*'тарификация '!$Q468/'тарификация '!$Q450</f>
        <v>0</v>
      </c>
      <c r="U30" s="219">
        <f>U12*'тарификация '!$Q468/'тарификация '!$Q450</f>
        <v>0</v>
      </c>
      <c r="V30" s="219">
        <f>V12*'тарификация '!$Q468/'тарификация '!$Q450</f>
        <v>0</v>
      </c>
      <c r="W30" s="219">
        <f>W12*'тарификация '!$Q468/'тарификация '!$Q450</f>
        <v>0</v>
      </c>
      <c r="X30" s="219">
        <f>X12*'тарификация '!$Q468/'тарификация '!$Q450</f>
        <v>0</v>
      </c>
      <c r="Y30" s="219">
        <f>Y12*'тарификация '!$Q468/'тарификация '!$Q450</f>
        <v>0</v>
      </c>
      <c r="Z30" s="219">
        <f>Z12*'тарификация '!$Q468/'тарификация '!$Q450</f>
        <v>0</v>
      </c>
      <c r="AA30" s="219">
        <f>AA12*'тарификация '!$Q468/'тарификация '!$Q450</f>
        <v>0</v>
      </c>
      <c r="AB30" s="219">
        <f>AB12*'тарификация '!$Q468/'тарификация '!$Q450</f>
        <v>0</v>
      </c>
      <c r="AC30" s="219">
        <f t="shared" si="12"/>
        <v>8625</v>
      </c>
    </row>
    <row r="31" spans="1:29" ht="12.75">
      <c r="A31" s="217" t="s">
        <v>150</v>
      </c>
      <c r="B31" s="7">
        <v>213</v>
      </c>
      <c r="C31" s="218">
        <f>C30*0.302</f>
        <v>704.9</v>
      </c>
      <c r="D31" s="218">
        <f aca="true" t="shared" si="13" ref="D31:J31">D30*0.302</f>
        <v>553.9</v>
      </c>
      <c r="E31" s="218">
        <f t="shared" si="13"/>
        <v>457.57</v>
      </c>
      <c r="F31" s="218">
        <f t="shared" si="13"/>
        <v>162.67</v>
      </c>
      <c r="G31" s="218">
        <f t="shared" si="13"/>
        <v>120.42</v>
      </c>
      <c r="H31" s="218">
        <f t="shared" si="13"/>
        <v>144.49</v>
      </c>
      <c r="I31" s="218">
        <f t="shared" si="13"/>
        <v>316.3</v>
      </c>
      <c r="J31" s="218">
        <f t="shared" si="13"/>
        <v>144.49</v>
      </c>
      <c r="K31" s="220">
        <f aca="true" t="shared" si="14" ref="K31:AB31">K30*0.302</f>
        <v>0</v>
      </c>
      <c r="L31" s="218">
        <f t="shared" si="14"/>
        <v>0</v>
      </c>
      <c r="M31" s="219">
        <f t="shared" si="14"/>
        <v>0</v>
      </c>
      <c r="N31" s="219">
        <f t="shared" si="14"/>
        <v>0</v>
      </c>
      <c r="O31" s="219">
        <f t="shared" si="14"/>
        <v>0</v>
      </c>
      <c r="P31" s="219">
        <f t="shared" si="14"/>
        <v>0</v>
      </c>
      <c r="Q31" s="219">
        <f t="shared" si="14"/>
        <v>0</v>
      </c>
      <c r="R31" s="219">
        <f t="shared" si="14"/>
        <v>0</v>
      </c>
      <c r="S31" s="219">
        <f t="shared" si="14"/>
        <v>0</v>
      </c>
      <c r="T31" s="219">
        <f t="shared" si="14"/>
        <v>0</v>
      </c>
      <c r="U31" s="219">
        <f t="shared" si="14"/>
        <v>0</v>
      </c>
      <c r="V31" s="219">
        <f t="shared" si="14"/>
        <v>0</v>
      </c>
      <c r="W31" s="219">
        <f t="shared" si="14"/>
        <v>0</v>
      </c>
      <c r="X31" s="219">
        <f t="shared" si="14"/>
        <v>0</v>
      </c>
      <c r="Y31" s="219">
        <f t="shared" si="14"/>
        <v>0</v>
      </c>
      <c r="Z31" s="219">
        <f t="shared" si="14"/>
        <v>0</v>
      </c>
      <c r="AA31" s="219">
        <f t="shared" si="14"/>
        <v>0</v>
      </c>
      <c r="AB31" s="219">
        <f t="shared" si="14"/>
        <v>0</v>
      </c>
      <c r="AC31" s="219">
        <f t="shared" si="12"/>
        <v>2604.74</v>
      </c>
    </row>
    <row r="32" spans="1:29" ht="12.75">
      <c r="A32" s="217" t="s">
        <v>80</v>
      </c>
      <c r="B32" s="7">
        <v>211</v>
      </c>
      <c r="C32" s="218">
        <v>0</v>
      </c>
      <c r="D32" s="219">
        <v>0</v>
      </c>
      <c r="E32" s="220">
        <v>0</v>
      </c>
      <c r="F32" s="218">
        <v>0</v>
      </c>
      <c r="G32" s="218">
        <v>0</v>
      </c>
      <c r="H32" s="219">
        <v>0</v>
      </c>
      <c r="I32" s="247">
        <v>0</v>
      </c>
      <c r="J32" s="219">
        <v>0</v>
      </c>
      <c r="K32" s="220">
        <v>0</v>
      </c>
      <c r="L32" s="218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f t="shared" si="12"/>
        <v>0</v>
      </c>
    </row>
    <row r="33" spans="1:29" ht="12.75">
      <c r="A33" s="217" t="s">
        <v>33</v>
      </c>
      <c r="B33" s="7">
        <v>213</v>
      </c>
      <c r="C33" s="218">
        <f>C32*0.302</f>
        <v>0</v>
      </c>
      <c r="D33" s="219">
        <f aca="true" t="shared" si="15" ref="D33:AB33">D32*0.302</f>
        <v>0</v>
      </c>
      <c r="E33" s="220">
        <f t="shared" si="15"/>
        <v>0</v>
      </c>
      <c r="F33" s="218">
        <f t="shared" si="15"/>
        <v>0</v>
      </c>
      <c r="G33" s="218">
        <f t="shared" si="15"/>
        <v>0</v>
      </c>
      <c r="H33" s="219">
        <f t="shared" si="15"/>
        <v>0</v>
      </c>
      <c r="I33" s="247">
        <f t="shared" si="15"/>
        <v>0</v>
      </c>
      <c r="J33" s="219">
        <f t="shared" si="15"/>
        <v>0</v>
      </c>
      <c r="K33" s="220">
        <f t="shared" si="15"/>
        <v>0</v>
      </c>
      <c r="L33" s="218">
        <f t="shared" si="15"/>
        <v>0</v>
      </c>
      <c r="M33" s="219">
        <f t="shared" si="15"/>
        <v>0</v>
      </c>
      <c r="N33" s="219">
        <f t="shared" si="15"/>
        <v>0</v>
      </c>
      <c r="O33" s="219">
        <f t="shared" si="15"/>
        <v>0</v>
      </c>
      <c r="P33" s="219">
        <f t="shared" si="15"/>
        <v>0</v>
      </c>
      <c r="Q33" s="219">
        <f t="shared" si="15"/>
        <v>0</v>
      </c>
      <c r="R33" s="219">
        <f t="shared" si="15"/>
        <v>0</v>
      </c>
      <c r="S33" s="219">
        <f t="shared" si="15"/>
        <v>0</v>
      </c>
      <c r="T33" s="219">
        <f t="shared" si="15"/>
        <v>0</v>
      </c>
      <c r="U33" s="219">
        <f t="shared" si="15"/>
        <v>0</v>
      </c>
      <c r="V33" s="219">
        <f t="shared" si="15"/>
        <v>0</v>
      </c>
      <c r="W33" s="219">
        <f t="shared" si="15"/>
        <v>0</v>
      </c>
      <c r="X33" s="219">
        <f t="shared" si="15"/>
        <v>0</v>
      </c>
      <c r="Y33" s="219">
        <f t="shared" si="15"/>
        <v>0</v>
      </c>
      <c r="Z33" s="219">
        <f t="shared" si="15"/>
        <v>0</v>
      </c>
      <c r="AA33" s="219">
        <f t="shared" si="15"/>
        <v>0</v>
      </c>
      <c r="AB33" s="219">
        <f t="shared" si="15"/>
        <v>0</v>
      </c>
      <c r="AC33" s="219">
        <f t="shared" si="12"/>
        <v>0</v>
      </c>
    </row>
    <row r="34" spans="1:29" ht="12.75">
      <c r="A34" s="217" t="s">
        <v>21</v>
      </c>
      <c r="B34" s="7">
        <v>211</v>
      </c>
      <c r="C34" s="218">
        <f>(C30+C32)*'тарификация 01.10'!$S483%</f>
        <v>583.53</v>
      </c>
      <c r="D34" s="218">
        <f>(D30+D32)*'тарификация 01.10'!$S483%</f>
        <v>458.52</v>
      </c>
      <c r="E34" s="218">
        <f>(E30+E32)*'тарификация 01.10'!$S483%</f>
        <v>378.78</v>
      </c>
      <c r="F34" s="218">
        <f>(F30+F32)*'тарификация 01.10'!$S483%</f>
        <v>134.66</v>
      </c>
      <c r="G34" s="218">
        <f>(G30+G32)*'тарификация 01.10'!$S483%</f>
        <v>99.69</v>
      </c>
      <c r="H34" s="218">
        <f>(H30+H32)*'тарификация 01.10'!$S483%</f>
        <v>119.62</v>
      </c>
      <c r="I34" s="218">
        <f>(I30+I32)*'тарификация 01.10'!$S483%</f>
        <v>261.84</v>
      </c>
      <c r="J34" s="218">
        <f>(J30+J32)*'тарификация 01.10'!$S483%</f>
        <v>119.62</v>
      </c>
      <c r="K34" s="218">
        <f>(K30+K32)*'тарификация 01.10'!$S483%</f>
        <v>0</v>
      </c>
      <c r="L34" s="218">
        <f>(L30+L32)*'тарификация 01.10'!$S483%</f>
        <v>0</v>
      </c>
      <c r="M34" s="218">
        <f>(M30+M32)*'тарификация 01.10'!$S483%</f>
        <v>0</v>
      </c>
      <c r="N34" s="218">
        <f>(N30+N32)*'тарификация 01.10'!$S483%</f>
        <v>0</v>
      </c>
      <c r="O34" s="218">
        <f>(O30+O32)*'тарификация 01.10'!$S483%</f>
        <v>0</v>
      </c>
      <c r="P34" s="218">
        <f>(P30+P32)*'тарификация 01.10'!$S483%</f>
        <v>0</v>
      </c>
      <c r="Q34" s="218">
        <f>(Q30+Q32)*'тарификация 01.10'!$S483%</f>
        <v>0</v>
      </c>
      <c r="R34" s="218">
        <f>(R30+R32)*'тарификация 01.10'!$S483%</f>
        <v>0</v>
      </c>
      <c r="S34" s="218">
        <f>(S30+S32)*'тарификация 01.10'!$S483%</f>
        <v>0</v>
      </c>
      <c r="T34" s="218">
        <f>(T30+T32)*'тарификация 01.10'!$S483%</f>
        <v>0</v>
      </c>
      <c r="U34" s="218">
        <f>(U30+U32)*'тарификация 01.10'!$S483%</f>
        <v>0</v>
      </c>
      <c r="V34" s="218">
        <f>(V30+V32)*'тарификация 01.10'!$S483%</f>
        <v>0</v>
      </c>
      <c r="W34" s="218">
        <f>(W30+W32)*'тарификация 01.10'!$S483%</f>
        <v>0</v>
      </c>
      <c r="X34" s="218">
        <f>(X30+X32)*'тарификация 01.10'!$S483%</f>
        <v>0</v>
      </c>
      <c r="Y34" s="218">
        <f>(Y30+Y32)*'тарификация 01.10'!$S483%</f>
        <v>0</v>
      </c>
      <c r="Z34" s="218">
        <f>(Z30+Z32)*'тарификация 01.10'!$S483%</f>
        <v>0</v>
      </c>
      <c r="AA34" s="218">
        <f>(AA30+AA32)*'тарификация 01.10'!$S483%</f>
        <v>0</v>
      </c>
      <c r="AB34" s="218">
        <f>(AB30+AB32)*'тарификация 01.10'!$S483%</f>
        <v>0</v>
      </c>
      <c r="AC34" s="219">
        <f t="shared" si="12"/>
        <v>2156.26</v>
      </c>
    </row>
    <row r="35" spans="1:29" ht="12.75">
      <c r="A35" s="222" t="s">
        <v>22</v>
      </c>
      <c r="B35" s="223">
        <v>213</v>
      </c>
      <c r="C35" s="218">
        <f>C34*0.302</f>
        <v>176.23</v>
      </c>
      <c r="D35" s="218">
        <f aca="true" t="shared" si="16" ref="D35:J35">D34*0.302</f>
        <v>138.47</v>
      </c>
      <c r="E35" s="218">
        <f t="shared" si="16"/>
        <v>114.39</v>
      </c>
      <c r="F35" s="218">
        <f t="shared" si="16"/>
        <v>40.67</v>
      </c>
      <c r="G35" s="218">
        <f t="shared" si="16"/>
        <v>30.11</v>
      </c>
      <c r="H35" s="218">
        <f t="shared" si="16"/>
        <v>36.13</v>
      </c>
      <c r="I35" s="218">
        <f t="shared" si="16"/>
        <v>79.08</v>
      </c>
      <c r="J35" s="218">
        <f t="shared" si="16"/>
        <v>36.13</v>
      </c>
      <c r="K35" s="220">
        <f aca="true" t="shared" si="17" ref="K35:AB35">K34*0.302</f>
        <v>0</v>
      </c>
      <c r="L35" s="218">
        <f t="shared" si="17"/>
        <v>0</v>
      </c>
      <c r="M35" s="219">
        <f t="shared" si="17"/>
        <v>0</v>
      </c>
      <c r="N35" s="219">
        <f t="shared" si="17"/>
        <v>0</v>
      </c>
      <c r="O35" s="219">
        <f t="shared" si="17"/>
        <v>0</v>
      </c>
      <c r="P35" s="219">
        <f t="shared" si="17"/>
        <v>0</v>
      </c>
      <c r="Q35" s="219">
        <f t="shared" si="17"/>
        <v>0</v>
      </c>
      <c r="R35" s="219">
        <f t="shared" si="17"/>
        <v>0</v>
      </c>
      <c r="S35" s="219">
        <f t="shared" si="17"/>
        <v>0</v>
      </c>
      <c r="T35" s="219">
        <f t="shared" si="17"/>
        <v>0</v>
      </c>
      <c r="U35" s="219">
        <f t="shared" si="17"/>
        <v>0</v>
      </c>
      <c r="V35" s="219">
        <f t="shared" si="17"/>
        <v>0</v>
      </c>
      <c r="W35" s="219">
        <f t="shared" si="17"/>
        <v>0</v>
      </c>
      <c r="X35" s="219">
        <f t="shared" si="17"/>
        <v>0</v>
      </c>
      <c r="Y35" s="219">
        <f t="shared" si="17"/>
        <v>0</v>
      </c>
      <c r="Z35" s="219">
        <f t="shared" si="17"/>
        <v>0</v>
      </c>
      <c r="AA35" s="219">
        <f t="shared" si="17"/>
        <v>0</v>
      </c>
      <c r="AB35" s="219">
        <f t="shared" si="17"/>
        <v>0</v>
      </c>
      <c r="AC35" s="219">
        <f t="shared" si="12"/>
        <v>651.21</v>
      </c>
    </row>
    <row r="36" spans="1:29" ht="12.75">
      <c r="A36" s="224" t="s">
        <v>23</v>
      </c>
      <c r="B36" s="225">
        <v>211</v>
      </c>
      <c r="C36" s="218">
        <f>(C30+C32+C34)/29.3*28/12</f>
        <v>232.35</v>
      </c>
      <c r="D36" s="219">
        <f aca="true" t="shared" si="18" ref="D36:AB36">(D30+D32+D34)/29.3*28/12</f>
        <v>182.57</v>
      </c>
      <c r="E36" s="220">
        <f t="shared" si="18"/>
        <v>150.82</v>
      </c>
      <c r="F36" s="218">
        <f t="shared" si="18"/>
        <v>53.62</v>
      </c>
      <c r="G36" s="218">
        <f t="shared" si="18"/>
        <v>39.69</v>
      </c>
      <c r="H36" s="219">
        <f t="shared" si="18"/>
        <v>47.63</v>
      </c>
      <c r="I36" s="247">
        <f t="shared" si="18"/>
        <v>104.26</v>
      </c>
      <c r="J36" s="219">
        <f t="shared" si="18"/>
        <v>47.63</v>
      </c>
      <c r="K36" s="220">
        <f t="shared" si="18"/>
        <v>0</v>
      </c>
      <c r="L36" s="218">
        <f t="shared" si="18"/>
        <v>0</v>
      </c>
      <c r="M36" s="219">
        <f t="shared" si="18"/>
        <v>0</v>
      </c>
      <c r="N36" s="219">
        <f t="shared" si="18"/>
        <v>0</v>
      </c>
      <c r="O36" s="219">
        <f t="shared" si="18"/>
        <v>0</v>
      </c>
      <c r="P36" s="219">
        <f t="shared" si="18"/>
        <v>0</v>
      </c>
      <c r="Q36" s="219">
        <f t="shared" si="18"/>
        <v>0</v>
      </c>
      <c r="R36" s="219">
        <f t="shared" si="18"/>
        <v>0</v>
      </c>
      <c r="S36" s="219">
        <f t="shared" si="18"/>
        <v>0</v>
      </c>
      <c r="T36" s="219">
        <f t="shared" si="18"/>
        <v>0</v>
      </c>
      <c r="U36" s="219">
        <f t="shared" si="18"/>
        <v>0</v>
      </c>
      <c r="V36" s="219">
        <f t="shared" si="18"/>
        <v>0</v>
      </c>
      <c r="W36" s="219">
        <f t="shared" si="18"/>
        <v>0</v>
      </c>
      <c r="X36" s="219">
        <f t="shared" si="18"/>
        <v>0</v>
      </c>
      <c r="Y36" s="219">
        <f t="shared" si="18"/>
        <v>0</v>
      </c>
      <c r="Z36" s="219">
        <f t="shared" si="18"/>
        <v>0</v>
      </c>
      <c r="AA36" s="219">
        <f t="shared" si="18"/>
        <v>0</v>
      </c>
      <c r="AB36" s="219">
        <f t="shared" si="18"/>
        <v>0</v>
      </c>
      <c r="AC36" s="219">
        <f t="shared" si="12"/>
        <v>858.57</v>
      </c>
    </row>
    <row r="37" spans="1:29" ht="12.75">
      <c r="A37" s="224" t="s">
        <v>24</v>
      </c>
      <c r="B37" s="225">
        <v>213</v>
      </c>
      <c r="C37" s="218">
        <f>C36*0.302</f>
        <v>70.17</v>
      </c>
      <c r="D37" s="219">
        <f aca="true" t="shared" si="19" ref="D37:AB37">D36*0.302</f>
        <v>55.14</v>
      </c>
      <c r="E37" s="220">
        <f t="shared" si="19"/>
        <v>45.55</v>
      </c>
      <c r="F37" s="218">
        <f t="shared" si="19"/>
        <v>16.19</v>
      </c>
      <c r="G37" s="218">
        <f t="shared" si="19"/>
        <v>11.99</v>
      </c>
      <c r="H37" s="219">
        <f t="shared" si="19"/>
        <v>14.38</v>
      </c>
      <c r="I37" s="247">
        <f t="shared" si="19"/>
        <v>31.49</v>
      </c>
      <c r="J37" s="219">
        <f t="shared" si="19"/>
        <v>14.38</v>
      </c>
      <c r="K37" s="220">
        <f t="shared" si="19"/>
        <v>0</v>
      </c>
      <c r="L37" s="218">
        <f t="shared" si="19"/>
        <v>0</v>
      </c>
      <c r="M37" s="219">
        <f t="shared" si="19"/>
        <v>0</v>
      </c>
      <c r="N37" s="219">
        <f t="shared" si="19"/>
        <v>0</v>
      </c>
      <c r="O37" s="219">
        <f t="shared" si="19"/>
        <v>0</v>
      </c>
      <c r="P37" s="219">
        <f t="shared" si="19"/>
        <v>0</v>
      </c>
      <c r="Q37" s="219">
        <f t="shared" si="19"/>
        <v>0</v>
      </c>
      <c r="R37" s="219">
        <f t="shared" si="19"/>
        <v>0</v>
      </c>
      <c r="S37" s="219">
        <f t="shared" si="19"/>
        <v>0</v>
      </c>
      <c r="T37" s="219">
        <f t="shared" si="19"/>
        <v>0</v>
      </c>
      <c r="U37" s="219">
        <f t="shared" si="19"/>
        <v>0</v>
      </c>
      <c r="V37" s="219">
        <f t="shared" si="19"/>
        <v>0</v>
      </c>
      <c r="W37" s="219">
        <f t="shared" si="19"/>
        <v>0</v>
      </c>
      <c r="X37" s="219">
        <f t="shared" si="19"/>
        <v>0</v>
      </c>
      <c r="Y37" s="219">
        <f t="shared" si="19"/>
        <v>0</v>
      </c>
      <c r="Z37" s="219">
        <f t="shared" si="19"/>
        <v>0</v>
      </c>
      <c r="AA37" s="219">
        <f t="shared" si="19"/>
        <v>0</v>
      </c>
      <c r="AB37" s="219">
        <f t="shared" si="19"/>
        <v>0</v>
      </c>
      <c r="AC37" s="219">
        <f t="shared" si="12"/>
        <v>259.29</v>
      </c>
    </row>
    <row r="38" spans="1:29" ht="12.75">
      <c r="A38" s="224" t="s">
        <v>34</v>
      </c>
      <c r="B38" s="225"/>
      <c r="C38" s="218"/>
      <c r="D38" s="218"/>
      <c r="E38" s="266"/>
      <c r="F38" s="218"/>
      <c r="G38" s="218"/>
      <c r="H38" s="218"/>
      <c r="I38" s="218"/>
      <c r="J38" s="219"/>
      <c r="K38" s="220"/>
      <c r="L38" s="218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>
        <f t="shared" si="12"/>
        <v>0</v>
      </c>
    </row>
    <row r="39" spans="1:29" ht="12.75">
      <c r="A39" s="234" t="s">
        <v>81</v>
      </c>
      <c r="B39" s="235">
        <v>226</v>
      </c>
      <c r="C39" s="236">
        <f>C63*C53</f>
        <v>1205.3</v>
      </c>
      <c r="D39" s="236">
        <f aca="true" t="shared" si="20" ref="D39:J39">D63*D53</f>
        <v>947.76</v>
      </c>
      <c r="E39" s="236">
        <f t="shared" si="20"/>
        <v>782.93</v>
      </c>
      <c r="F39" s="236">
        <f t="shared" si="20"/>
        <v>185.43</v>
      </c>
      <c r="G39" s="236">
        <f t="shared" si="20"/>
        <v>206.03</v>
      </c>
      <c r="H39" s="236">
        <f t="shared" si="20"/>
        <v>185.43</v>
      </c>
      <c r="I39" s="236">
        <f t="shared" si="20"/>
        <v>721.12</v>
      </c>
      <c r="J39" s="236">
        <f t="shared" si="20"/>
        <v>432.67</v>
      </c>
      <c r="K39" s="237"/>
      <c r="L39" s="236">
        <f>L53*3.032%</f>
        <v>0</v>
      </c>
      <c r="M39" s="238">
        <f aca="true" t="shared" si="21" ref="M39:AB39">M53*5%</f>
        <v>0</v>
      </c>
      <c r="N39" s="238">
        <f t="shared" si="21"/>
        <v>0</v>
      </c>
      <c r="O39" s="238">
        <f t="shared" si="21"/>
        <v>0</v>
      </c>
      <c r="P39" s="238">
        <f t="shared" si="21"/>
        <v>0</v>
      </c>
      <c r="Q39" s="238">
        <f t="shared" si="21"/>
        <v>0</v>
      </c>
      <c r="R39" s="238">
        <f t="shared" si="21"/>
        <v>0</v>
      </c>
      <c r="S39" s="238">
        <f t="shared" si="21"/>
        <v>0</v>
      </c>
      <c r="T39" s="238">
        <f t="shared" si="21"/>
        <v>0</v>
      </c>
      <c r="U39" s="238">
        <f t="shared" si="21"/>
        <v>0</v>
      </c>
      <c r="V39" s="238">
        <f t="shared" si="21"/>
        <v>0</v>
      </c>
      <c r="W39" s="238">
        <f t="shared" si="21"/>
        <v>0</v>
      </c>
      <c r="X39" s="238">
        <f t="shared" si="21"/>
        <v>0</v>
      </c>
      <c r="Y39" s="238">
        <f t="shared" si="21"/>
        <v>0</v>
      </c>
      <c r="Z39" s="238">
        <f t="shared" si="21"/>
        <v>0</v>
      </c>
      <c r="AA39" s="238">
        <f t="shared" si="21"/>
        <v>0</v>
      </c>
      <c r="AB39" s="238">
        <f t="shared" si="21"/>
        <v>0</v>
      </c>
      <c r="AC39" s="219">
        <f t="shared" si="12"/>
        <v>4666.67</v>
      </c>
    </row>
    <row r="40" spans="1:29" ht="12.75">
      <c r="A40" s="234" t="s">
        <v>86</v>
      </c>
      <c r="B40" s="235">
        <v>291</v>
      </c>
      <c r="C40" s="236">
        <f>C61*C53</f>
        <v>115.45</v>
      </c>
      <c r="D40" s="236">
        <f aca="true" t="shared" si="22" ref="D40:J40">D61*D53</f>
        <v>90.78</v>
      </c>
      <c r="E40" s="236">
        <f t="shared" si="22"/>
        <v>74.99</v>
      </c>
      <c r="F40" s="236">
        <f t="shared" si="22"/>
        <v>17.76</v>
      </c>
      <c r="G40" s="236">
        <f t="shared" si="22"/>
        <v>19.74</v>
      </c>
      <c r="H40" s="236">
        <f t="shared" si="22"/>
        <v>17.76</v>
      </c>
      <c r="I40" s="236">
        <f t="shared" si="22"/>
        <v>69.07</v>
      </c>
      <c r="J40" s="236">
        <f t="shared" si="22"/>
        <v>41.44</v>
      </c>
      <c r="K40" s="237"/>
      <c r="L40" s="236">
        <f>L53*1.819%</f>
        <v>0</v>
      </c>
      <c r="M40" s="238">
        <f aca="true" t="shared" si="23" ref="M40:AB40">M53*4%</f>
        <v>0</v>
      </c>
      <c r="N40" s="238">
        <f t="shared" si="23"/>
        <v>0</v>
      </c>
      <c r="O40" s="238">
        <f t="shared" si="23"/>
        <v>0</v>
      </c>
      <c r="P40" s="238">
        <f t="shared" si="23"/>
        <v>0</v>
      </c>
      <c r="Q40" s="238">
        <f t="shared" si="23"/>
        <v>0</v>
      </c>
      <c r="R40" s="238">
        <f t="shared" si="23"/>
        <v>0</v>
      </c>
      <c r="S40" s="238">
        <f t="shared" si="23"/>
        <v>0</v>
      </c>
      <c r="T40" s="238">
        <f t="shared" si="23"/>
        <v>0</v>
      </c>
      <c r="U40" s="238">
        <f t="shared" si="23"/>
        <v>0</v>
      </c>
      <c r="V40" s="238">
        <f t="shared" si="23"/>
        <v>0</v>
      </c>
      <c r="W40" s="238">
        <f t="shared" si="23"/>
        <v>0</v>
      </c>
      <c r="X40" s="238">
        <f t="shared" si="23"/>
        <v>0</v>
      </c>
      <c r="Y40" s="238">
        <f t="shared" si="23"/>
        <v>0</v>
      </c>
      <c r="Z40" s="238">
        <f t="shared" si="23"/>
        <v>0</v>
      </c>
      <c r="AA40" s="238">
        <f t="shared" si="23"/>
        <v>0</v>
      </c>
      <c r="AB40" s="238">
        <f t="shared" si="23"/>
        <v>0</v>
      </c>
      <c r="AC40" s="219">
        <f>SUM(C40:AB40)</f>
        <v>446.99</v>
      </c>
    </row>
    <row r="41" spans="1:29" ht="12.75">
      <c r="A41" s="234" t="s">
        <v>155</v>
      </c>
      <c r="B41" s="235">
        <v>291</v>
      </c>
      <c r="C41" s="236">
        <f>C59*C53</f>
        <v>1450.66</v>
      </c>
      <c r="D41" s="236">
        <f aca="true" t="shared" si="24" ref="D41:J41">D59*D53</f>
        <v>1140.69</v>
      </c>
      <c r="E41" s="236">
        <f t="shared" si="24"/>
        <v>942.31</v>
      </c>
      <c r="F41" s="236">
        <f t="shared" si="24"/>
        <v>223.18</v>
      </c>
      <c r="G41" s="236">
        <f t="shared" si="24"/>
        <v>247.98</v>
      </c>
      <c r="H41" s="236">
        <f t="shared" si="24"/>
        <v>223.18</v>
      </c>
      <c r="I41" s="236">
        <f t="shared" si="24"/>
        <v>867.92</v>
      </c>
      <c r="J41" s="236">
        <f t="shared" si="24"/>
        <v>520.75</v>
      </c>
      <c r="K41" s="237"/>
      <c r="L41" s="236">
        <f>L53*2.097%</f>
        <v>0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19">
        <f t="shared" si="12"/>
        <v>5616.67</v>
      </c>
    </row>
    <row r="42" spans="1:29" ht="13.5" thickBot="1">
      <c r="A42" s="234" t="s">
        <v>158</v>
      </c>
      <c r="B42" s="235">
        <v>226</v>
      </c>
      <c r="C42" s="218">
        <f>'расчет%'!$H11*C10%</f>
        <v>465.84</v>
      </c>
      <c r="D42" s="219">
        <f>'расчет%'!$H11*D10%</f>
        <v>366.29</v>
      </c>
      <c r="E42" s="220">
        <f>'расчет%'!$H11*E10%</f>
        <v>302.63</v>
      </c>
      <c r="F42" s="218">
        <f>'расчет%'!$H11*F10%</f>
        <v>71.6</v>
      </c>
      <c r="G42" s="218">
        <f>'расчет%'!$H11*G10%</f>
        <v>79.71</v>
      </c>
      <c r="H42" s="219">
        <f>'расчет%'!$H11*H10%</f>
        <v>71.6</v>
      </c>
      <c r="I42" s="247">
        <f>'расчет%'!$H11*I10%</f>
        <v>278.64</v>
      </c>
      <c r="J42" s="219">
        <f>'расчет%'!$H11*J10%</f>
        <v>167.18</v>
      </c>
      <c r="K42" s="220">
        <f>'расчет%'!$H11*K10%</f>
        <v>0</v>
      </c>
      <c r="L42" s="218">
        <f>'расчет%'!$H11*L10%</f>
        <v>0</v>
      </c>
      <c r="M42" s="219">
        <f>'расчет%'!$H11*M10%</f>
        <v>0</v>
      </c>
      <c r="N42" s="219">
        <f>'расчет%'!$H11*N10%</f>
        <v>0</v>
      </c>
      <c r="O42" s="219">
        <f>'расчет%'!$H11*O10%</f>
        <v>0</v>
      </c>
      <c r="P42" s="219">
        <f>'расчет%'!$H11*P10%</f>
        <v>0</v>
      </c>
      <c r="Q42" s="219">
        <f>'расчет%'!$H11*Q10%</f>
        <v>0</v>
      </c>
      <c r="R42" s="219">
        <f>'расчет%'!$H11*R10%</f>
        <v>0</v>
      </c>
      <c r="S42" s="219">
        <f>'расчет%'!$H11*S10%</f>
        <v>0</v>
      </c>
      <c r="T42" s="219">
        <f>'расчет%'!$H11*T10%</f>
        <v>0</v>
      </c>
      <c r="U42" s="219">
        <f>'расчет%'!$H11*U10%</f>
        <v>0</v>
      </c>
      <c r="V42" s="219">
        <f>'расчет%'!$H11*V10%</f>
        <v>0</v>
      </c>
      <c r="W42" s="219">
        <f>'расчет%'!$H11*W10%</f>
        <v>0</v>
      </c>
      <c r="X42" s="219">
        <f>'расчет%'!$H11*X10%</f>
        <v>0</v>
      </c>
      <c r="Y42" s="219">
        <f>'расчет%'!$H11*Y10%</f>
        <v>0</v>
      </c>
      <c r="Z42" s="219">
        <f>'расчет%'!$H11*Z10%</f>
        <v>0</v>
      </c>
      <c r="AA42" s="219">
        <f>'расчет%'!$H11*AA10%</f>
        <v>0</v>
      </c>
      <c r="AB42" s="219">
        <f>'расчет%'!$H11*AB10%</f>
        <v>0</v>
      </c>
      <c r="AC42" s="219">
        <f t="shared" si="12"/>
        <v>1803.49</v>
      </c>
    </row>
    <row r="43" spans="1:29" ht="13.5" thickBot="1">
      <c r="A43" s="204" t="s">
        <v>35</v>
      </c>
      <c r="B43" s="239"/>
      <c r="C43" s="227">
        <f>SUM(C30:C42)</f>
        <v>7338.55</v>
      </c>
      <c r="D43" s="228">
        <f aca="true" t="shared" si="25" ref="D43:AC43">SUM(D30:D42)</f>
        <v>5768.21</v>
      </c>
      <c r="E43" s="229">
        <f t="shared" si="25"/>
        <v>4765.09</v>
      </c>
      <c r="F43" s="227">
        <f t="shared" si="25"/>
        <v>1444.42</v>
      </c>
      <c r="G43" s="227">
        <f t="shared" si="25"/>
        <v>1254.11</v>
      </c>
      <c r="H43" s="228">
        <f t="shared" si="25"/>
        <v>1338.68</v>
      </c>
      <c r="I43" s="273">
        <f t="shared" si="25"/>
        <v>3777.08</v>
      </c>
      <c r="J43" s="228">
        <f t="shared" si="25"/>
        <v>2002.75</v>
      </c>
      <c r="K43" s="229">
        <f t="shared" si="25"/>
        <v>0</v>
      </c>
      <c r="L43" s="227">
        <f t="shared" si="25"/>
        <v>0</v>
      </c>
      <c r="M43" s="228">
        <f t="shared" si="25"/>
        <v>0</v>
      </c>
      <c r="N43" s="228">
        <f t="shared" si="25"/>
        <v>0</v>
      </c>
      <c r="O43" s="228">
        <f t="shared" si="25"/>
        <v>0</v>
      </c>
      <c r="P43" s="228">
        <f t="shared" si="25"/>
        <v>0</v>
      </c>
      <c r="Q43" s="228">
        <f t="shared" si="25"/>
        <v>0</v>
      </c>
      <c r="R43" s="228">
        <f t="shared" si="25"/>
        <v>0</v>
      </c>
      <c r="S43" s="228">
        <f t="shared" si="25"/>
        <v>0</v>
      </c>
      <c r="T43" s="228">
        <f t="shared" si="25"/>
        <v>0</v>
      </c>
      <c r="U43" s="228">
        <f t="shared" si="25"/>
        <v>0</v>
      </c>
      <c r="V43" s="228">
        <f t="shared" si="25"/>
        <v>0</v>
      </c>
      <c r="W43" s="228">
        <f t="shared" si="25"/>
        <v>0</v>
      </c>
      <c r="X43" s="228">
        <f t="shared" si="25"/>
        <v>0</v>
      </c>
      <c r="Y43" s="228">
        <f t="shared" si="25"/>
        <v>0</v>
      </c>
      <c r="Z43" s="228">
        <f t="shared" si="25"/>
        <v>0</v>
      </c>
      <c r="AA43" s="228">
        <f t="shared" si="25"/>
        <v>0</v>
      </c>
      <c r="AB43" s="228">
        <f t="shared" si="25"/>
        <v>0</v>
      </c>
      <c r="AC43" s="228">
        <f t="shared" si="25"/>
        <v>27688.89</v>
      </c>
    </row>
    <row r="44" spans="1:29" ht="12.75">
      <c r="A44" s="240" t="s">
        <v>36</v>
      </c>
      <c r="B44" s="241"/>
      <c r="C44" s="242">
        <f>C19+C28+C43</f>
        <v>34638.4</v>
      </c>
      <c r="D44" s="242">
        <f aca="true" t="shared" si="26" ref="D44:AB44">D19+D28+D43</f>
        <v>27221.81</v>
      </c>
      <c r="E44" s="242">
        <f t="shared" si="26"/>
        <v>22487.94</v>
      </c>
      <c r="F44" s="242">
        <f t="shared" si="26"/>
        <v>7444.01</v>
      </c>
      <c r="G44" s="242">
        <f t="shared" si="26"/>
        <v>5918.99</v>
      </c>
      <c r="H44" s="242">
        <f t="shared" si="26"/>
        <v>6734.85</v>
      </c>
      <c r="I44" s="242">
        <f t="shared" si="26"/>
        <v>16609.38</v>
      </c>
      <c r="J44" s="242">
        <f t="shared" si="26"/>
        <v>8198.6</v>
      </c>
      <c r="K44" s="242">
        <f t="shared" si="26"/>
        <v>0</v>
      </c>
      <c r="L44" s="242">
        <f t="shared" si="26"/>
        <v>0</v>
      </c>
      <c r="M44" s="242">
        <f t="shared" si="26"/>
        <v>0</v>
      </c>
      <c r="N44" s="242">
        <f t="shared" si="26"/>
        <v>0</v>
      </c>
      <c r="O44" s="242">
        <f t="shared" si="26"/>
        <v>0</v>
      </c>
      <c r="P44" s="242">
        <f t="shared" si="26"/>
        <v>0</v>
      </c>
      <c r="Q44" s="242">
        <f t="shared" si="26"/>
        <v>0</v>
      </c>
      <c r="R44" s="242">
        <f t="shared" si="26"/>
        <v>0</v>
      </c>
      <c r="S44" s="242">
        <f t="shared" si="26"/>
        <v>0</v>
      </c>
      <c r="T44" s="242">
        <f t="shared" si="26"/>
        <v>0</v>
      </c>
      <c r="U44" s="242">
        <f t="shared" si="26"/>
        <v>0</v>
      </c>
      <c r="V44" s="242">
        <f t="shared" si="26"/>
        <v>0</v>
      </c>
      <c r="W44" s="242">
        <f t="shared" si="26"/>
        <v>0</v>
      </c>
      <c r="X44" s="242">
        <f t="shared" si="26"/>
        <v>0</v>
      </c>
      <c r="Y44" s="242">
        <f t="shared" si="26"/>
        <v>0</v>
      </c>
      <c r="Z44" s="242">
        <f t="shared" si="26"/>
        <v>0</v>
      </c>
      <c r="AA44" s="242">
        <f t="shared" si="26"/>
        <v>0</v>
      </c>
      <c r="AB44" s="242">
        <f t="shared" si="26"/>
        <v>0</v>
      </c>
      <c r="AC44" s="219">
        <f>SUM(C44:AB44)</f>
        <v>129253.98</v>
      </c>
    </row>
    <row r="45" spans="1:29" ht="12.75">
      <c r="A45" s="245" t="s">
        <v>95</v>
      </c>
      <c r="B45" s="246"/>
      <c r="C45" s="218">
        <f>C53-C44</f>
        <v>12161.6</v>
      </c>
      <c r="D45" s="218">
        <f aca="true" t="shared" si="27" ref="D45:J45">D53-D44</f>
        <v>9578.19</v>
      </c>
      <c r="E45" s="218">
        <f t="shared" si="27"/>
        <v>7912.06</v>
      </c>
      <c r="F45" s="218">
        <f t="shared" si="27"/>
        <v>-244.01</v>
      </c>
      <c r="G45" s="218">
        <f t="shared" si="27"/>
        <v>2081.01</v>
      </c>
      <c r="H45" s="218">
        <f t="shared" si="27"/>
        <v>465.15</v>
      </c>
      <c r="I45" s="218">
        <f t="shared" si="27"/>
        <v>11390.62</v>
      </c>
      <c r="J45" s="218">
        <f t="shared" si="27"/>
        <v>8601.4</v>
      </c>
      <c r="K45" s="220"/>
      <c r="L45" s="218">
        <f aca="true" t="shared" si="28" ref="L45:AB45">L53-L44</f>
        <v>0</v>
      </c>
      <c r="M45" s="247">
        <f t="shared" si="28"/>
        <v>0</v>
      </c>
      <c r="N45" s="249">
        <f t="shared" si="28"/>
        <v>0</v>
      </c>
      <c r="O45" s="249">
        <f t="shared" si="28"/>
        <v>0</v>
      </c>
      <c r="P45" s="249">
        <f t="shared" si="28"/>
        <v>0</v>
      </c>
      <c r="Q45" s="249">
        <f t="shared" si="28"/>
        <v>0</v>
      </c>
      <c r="R45" s="249">
        <f t="shared" si="28"/>
        <v>0</v>
      </c>
      <c r="S45" s="249">
        <f t="shared" si="28"/>
        <v>0</v>
      </c>
      <c r="T45" s="249">
        <f t="shared" si="28"/>
        <v>0</v>
      </c>
      <c r="U45" s="249">
        <f t="shared" si="28"/>
        <v>0</v>
      </c>
      <c r="V45" s="249">
        <f t="shared" si="28"/>
        <v>0</v>
      </c>
      <c r="W45" s="249">
        <f t="shared" si="28"/>
        <v>0</v>
      </c>
      <c r="X45" s="249">
        <f t="shared" si="28"/>
        <v>0</v>
      </c>
      <c r="Y45" s="249">
        <f t="shared" si="28"/>
        <v>0</v>
      </c>
      <c r="Z45" s="249">
        <f t="shared" si="28"/>
        <v>0</v>
      </c>
      <c r="AA45" s="249">
        <f t="shared" si="28"/>
        <v>0</v>
      </c>
      <c r="AB45" s="249">
        <f t="shared" si="28"/>
        <v>0</v>
      </c>
      <c r="AC45" s="219">
        <f>SUM(C45:AB45)</f>
        <v>51946.02</v>
      </c>
    </row>
    <row r="46" spans="1:29" ht="13.5" thickBot="1">
      <c r="A46" s="250" t="s">
        <v>94</v>
      </c>
      <c r="B46" s="251"/>
      <c r="C46" s="236">
        <f>C45/C44*100</f>
        <v>35.11</v>
      </c>
      <c r="D46" s="236">
        <f aca="true" t="shared" si="29" ref="D46:J46">D45/D44*100</f>
        <v>35.19</v>
      </c>
      <c r="E46" s="236">
        <f t="shared" si="29"/>
        <v>35.18</v>
      </c>
      <c r="F46" s="236">
        <f t="shared" si="29"/>
        <v>-3.28</v>
      </c>
      <c r="G46" s="236">
        <f t="shared" si="29"/>
        <v>35.16</v>
      </c>
      <c r="H46" s="236">
        <f t="shared" si="29"/>
        <v>6.91</v>
      </c>
      <c r="I46" s="236">
        <f t="shared" si="29"/>
        <v>68.58</v>
      </c>
      <c r="J46" s="236">
        <f t="shared" si="29"/>
        <v>104.91</v>
      </c>
      <c r="K46" s="237" t="e">
        <f aca="true" t="shared" si="30" ref="K46:AC46">K45/K44*100</f>
        <v>#DIV/0!</v>
      </c>
      <c r="L46" s="236" t="e">
        <f t="shared" si="30"/>
        <v>#DIV/0!</v>
      </c>
      <c r="M46" s="252" t="e">
        <f t="shared" si="30"/>
        <v>#DIV/0!</v>
      </c>
      <c r="N46" s="395" t="e">
        <f t="shared" si="30"/>
        <v>#DIV/0!</v>
      </c>
      <c r="O46" s="395" t="e">
        <f t="shared" si="30"/>
        <v>#DIV/0!</v>
      </c>
      <c r="P46" s="395" t="e">
        <f t="shared" si="30"/>
        <v>#DIV/0!</v>
      </c>
      <c r="Q46" s="395" t="e">
        <f t="shared" si="30"/>
        <v>#DIV/0!</v>
      </c>
      <c r="R46" s="395" t="e">
        <f t="shared" si="30"/>
        <v>#DIV/0!</v>
      </c>
      <c r="S46" s="395" t="e">
        <f t="shared" si="30"/>
        <v>#DIV/0!</v>
      </c>
      <c r="T46" s="395" t="e">
        <f t="shared" si="30"/>
        <v>#DIV/0!</v>
      </c>
      <c r="U46" s="395" t="e">
        <f t="shared" si="30"/>
        <v>#DIV/0!</v>
      </c>
      <c r="V46" s="395" t="e">
        <f t="shared" si="30"/>
        <v>#DIV/0!</v>
      </c>
      <c r="W46" s="395" t="e">
        <f t="shared" si="30"/>
        <v>#DIV/0!</v>
      </c>
      <c r="X46" s="395" t="e">
        <f t="shared" si="30"/>
        <v>#DIV/0!</v>
      </c>
      <c r="Y46" s="395" t="e">
        <f t="shared" si="30"/>
        <v>#DIV/0!</v>
      </c>
      <c r="Z46" s="395" t="e">
        <f t="shared" si="30"/>
        <v>#DIV/0!</v>
      </c>
      <c r="AA46" s="395" t="e">
        <f t="shared" si="30"/>
        <v>#DIV/0!</v>
      </c>
      <c r="AB46" s="395" t="e">
        <f t="shared" si="30"/>
        <v>#DIV/0!</v>
      </c>
      <c r="AC46" s="396">
        <f t="shared" si="30"/>
        <v>40.19</v>
      </c>
    </row>
    <row r="47" spans="1:30" ht="13.5" thickBot="1">
      <c r="A47" s="578" t="s">
        <v>37</v>
      </c>
      <c r="B47" s="579"/>
      <c r="C47" s="227">
        <f>C44+C45</f>
        <v>46800</v>
      </c>
      <c r="D47" s="228">
        <f>D44+D45</f>
        <v>36800</v>
      </c>
      <c r="E47" s="229">
        <f>E44+E45</f>
        <v>30400</v>
      </c>
      <c r="F47" s="227">
        <f>F44+F45</f>
        <v>7200</v>
      </c>
      <c r="G47" s="227">
        <f aca="true" t="shared" si="31" ref="G47:AB47">G44+G45</f>
        <v>8000</v>
      </c>
      <c r="H47" s="228">
        <f t="shared" si="31"/>
        <v>7200</v>
      </c>
      <c r="I47" s="273">
        <f t="shared" si="31"/>
        <v>28000</v>
      </c>
      <c r="J47" s="228">
        <f t="shared" si="31"/>
        <v>16800</v>
      </c>
      <c r="K47" s="229">
        <f t="shared" si="31"/>
        <v>0</v>
      </c>
      <c r="L47" s="227">
        <f t="shared" si="31"/>
        <v>0</v>
      </c>
      <c r="M47" s="228">
        <f t="shared" si="31"/>
        <v>0</v>
      </c>
      <c r="N47" s="228">
        <f t="shared" si="31"/>
        <v>0</v>
      </c>
      <c r="O47" s="228">
        <f t="shared" si="31"/>
        <v>0</v>
      </c>
      <c r="P47" s="228">
        <f t="shared" si="31"/>
        <v>0</v>
      </c>
      <c r="Q47" s="228">
        <f t="shared" si="31"/>
        <v>0</v>
      </c>
      <c r="R47" s="228">
        <f t="shared" si="31"/>
        <v>0</v>
      </c>
      <c r="S47" s="228">
        <f t="shared" si="31"/>
        <v>0</v>
      </c>
      <c r="T47" s="228">
        <f t="shared" si="31"/>
        <v>0</v>
      </c>
      <c r="U47" s="228">
        <f t="shared" si="31"/>
        <v>0</v>
      </c>
      <c r="V47" s="228">
        <f t="shared" si="31"/>
        <v>0</v>
      </c>
      <c r="W47" s="228">
        <f t="shared" si="31"/>
        <v>0</v>
      </c>
      <c r="X47" s="228">
        <f t="shared" si="31"/>
        <v>0</v>
      </c>
      <c r="Y47" s="228">
        <f t="shared" si="31"/>
        <v>0</v>
      </c>
      <c r="Z47" s="228">
        <f t="shared" si="31"/>
        <v>0</v>
      </c>
      <c r="AA47" s="228">
        <f t="shared" si="31"/>
        <v>0</v>
      </c>
      <c r="AB47" s="228">
        <f t="shared" si="31"/>
        <v>0</v>
      </c>
      <c r="AC47" s="228">
        <f aca="true" t="shared" si="32" ref="AC47:AC53">SUM(C47:AB47)</f>
        <v>181200</v>
      </c>
      <c r="AD47" s="221"/>
    </row>
    <row r="48" spans="1:29" ht="13.5" thickBot="1">
      <c r="A48" s="204"/>
      <c r="B48" s="239"/>
      <c r="C48" s="254"/>
      <c r="D48" s="255"/>
      <c r="E48" s="255"/>
      <c r="F48" s="254"/>
      <c r="G48" s="254"/>
      <c r="H48" s="255"/>
      <c r="I48" s="295"/>
      <c r="J48" s="296"/>
      <c r="K48" s="255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6">
        <f t="shared" si="32"/>
        <v>0</v>
      </c>
    </row>
    <row r="49" spans="1:29" ht="12.75">
      <c r="A49" s="257" t="s">
        <v>38</v>
      </c>
      <c r="B49" s="258"/>
      <c r="C49" s="216">
        <f>доходы!C12</f>
        <v>39</v>
      </c>
      <c r="D49" s="259">
        <f>доходы!C14</f>
        <v>23</v>
      </c>
      <c r="E49" s="260">
        <f>доходы!C16</f>
        <v>19</v>
      </c>
      <c r="F49" s="216">
        <f>доходы!C18</f>
        <v>9</v>
      </c>
      <c r="G49" s="216">
        <f>доходы!C19</f>
        <v>8</v>
      </c>
      <c r="H49" s="259">
        <f>доходы!C20</f>
        <v>12</v>
      </c>
      <c r="I49" s="259">
        <f>доходы!C21</f>
        <v>35</v>
      </c>
      <c r="J49" s="297">
        <f>доходы!C22</f>
        <v>21</v>
      </c>
      <c r="K49" s="261"/>
      <c r="L49" s="216"/>
      <c r="M49" s="259"/>
      <c r="N49" s="262"/>
      <c r="O49" s="262">
        <f>доходы!C24</f>
        <v>0</v>
      </c>
      <c r="P49" s="262">
        <f>доходы!C25</f>
        <v>0</v>
      </c>
      <c r="Q49" s="262">
        <f>доходы!C26</f>
        <v>0</v>
      </c>
      <c r="R49" s="262">
        <f>доходы!C27</f>
        <v>0</v>
      </c>
      <c r="S49" s="262">
        <f>доходы!C28</f>
        <v>0</v>
      </c>
      <c r="T49" s="262">
        <f>доходы!C29</f>
        <v>0</v>
      </c>
      <c r="U49" s="262">
        <f>доходы!C30</f>
        <v>0</v>
      </c>
      <c r="V49" s="262">
        <f>доходы!C31</f>
        <v>0</v>
      </c>
      <c r="W49" s="262">
        <f>доходы!C32</f>
        <v>0</v>
      </c>
      <c r="X49" s="262">
        <f>доходы!C33</f>
        <v>0</v>
      </c>
      <c r="Y49" s="262">
        <f>доходы!C34</f>
        <v>0</v>
      </c>
      <c r="Z49" s="262">
        <f>доходы!C35</f>
        <v>0</v>
      </c>
      <c r="AA49" s="262">
        <f>доходы!C36</f>
        <v>0</v>
      </c>
      <c r="AB49" s="262">
        <f>доходы!C37</f>
        <v>0</v>
      </c>
      <c r="AC49" s="263">
        <f t="shared" si="32"/>
        <v>166</v>
      </c>
    </row>
    <row r="50" spans="1:29" ht="12.75">
      <c r="A50" s="224" t="s">
        <v>39</v>
      </c>
      <c r="B50" s="264"/>
      <c r="C50" s="218">
        <f>доходы!D11</f>
        <v>1200</v>
      </c>
      <c r="D50" s="247">
        <f>доходы!D13</f>
        <v>1600</v>
      </c>
      <c r="E50" s="248">
        <f>доходы!D15</f>
        <v>1600</v>
      </c>
      <c r="F50" s="218">
        <f>доходы!D18</f>
        <v>800</v>
      </c>
      <c r="G50" s="218">
        <f>доходы!D19</f>
        <v>1000</v>
      </c>
      <c r="H50" s="247">
        <f>доходы!D20</f>
        <v>600</v>
      </c>
      <c r="I50" s="249">
        <f>доходы!D21</f>
        <v>800</v>
      </c>
      <c r="J50" s="219">
        <f>доходы!D22</f>
        <v>800</v>
      </c>
      <c r="K50" s="220"/>
      <c r="L50" s="218"/>
      <c r="M50" s="247"/>
      <c r="N50" s="249"/>
      <c r="O50" s="249">
        <f>доходы!D24</f>
        <v>0</v>
      </c>
      <c r="P50" s="249">
        <f>доходы!D25</f>
        <v>0</v>
      </c>
      <c r="Q50" s="249">
        <f>доходы!D26</f>
        <v>0</v>
      </c>
      <c r="R50" s="249">
        <f>доходы!D27</f>
        <v>0</v>
      </c>
      <c r="S50" s="249">
        <f>доходы!D28</f>
        <v>0</v>
      </c>
      <c r="T50" s="249">
        <f>доходы!D29</f>
        <v>0</v>
      </c>
      <c r="U50" s="249">
        <f>доходы!D30</f>
        <v>0</v>
      </c>
      <c r="V50" s="249">
        <f>доходы!D31</f>
        <v>0</v>
      </c>
      <c r="W50" s="249">
        <f>доходы!D32</f>
        <v>0</v>
      </c>
      <c r="X50" s="249">
        <f>доходы!D33</f>
        <v>0</v>
      </c>
      <c r="Y50" s="249">
        <f>доходы!D34</f>
        <v>0</v>
      </c>
      <c r="Z50" s="249">
        <f>доходы!D35</f>
        <v>0</v>
      </c>
      <c r="AA50" s="249">
        <f>доходы!D36</f>
        <v>0</v>
      </c>
      <c r="AB50" s="249">
        <f>доходы!D37</f>
        <v>0</v>
      </c>
      <c r="AC50" s="265">
        <f t="shared" si="32"/>
        <v>8400</v>
      </c>
    </row>
    <row r="51" spans="1:29" ht="12.75">
      <c r="A51" s="224" t="s">
        <v>40</v>
      </c>
      <c r="B51" s="264"/>
      <c r="C51" s="218"/>
      <c r="D51" s="247"/>
      <c r="E51" s="248"/>
      <c r="F51" s="218"/>
      <c r="G51" s="218"/>
      <c r="H51" s="247"/>
      <c r="I51" s="249"/>
      <c r="J51" s="219"/>
      <c r="K51" s="220"/>
      <c r="L51" s="218"/>
      <c r="M51" s="247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65">
        <f t="shared" si="32"/>
        <v>0</v>
      </c>
    </row>
    <row r="52" spans="1:29" ht="12.75">
      <c r="A52" s="224" t="s">
        <v>41</v>
      </c>
      <c r="B52" s="264"/>
      <c r="C52" s="218"/>
      <c r="D52" s="247"/>
      <c r="E52" s="248"/>
      <c r="F52" s="218"/>
      <c r="G52" s="218"/>
      <c r="H52" s="247"/>
      <c r="I52" s="249"/>
      <c r="J52" s="219"/>
      <c r="K52" s="220"/>
      <c r="L52" s="218"/>
      <c r="M52" s="247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65">
        <f t="shared" si="32"/>
        <v>0</v>
      </c>
    </row>
    <row r="53" spans="1:29" ht="12.75">
      <c r="A53" s="224" t="s">
        <v>42</v>
      </c>
      <c r="B53" s="264"/>
      <c r="C53" s="218">
        <f>C49*C50+C51*C52</f>
        <v>46800</v>
      </c>
      <c r="D53" s="247">
        <f>D49*D50+D51*D52</f>
        <v>36800</v>
      </c>
      <c r="E53" s="248">
        <f>E49*E50+E51*E52</f>
        <v>30400</v>
      </c>
      <c r="F53" s="218">
        <f>F49*F50+F51*F52</f>
        <v>7200</v>
      </c>
      <c r="G53" s="218">
        <f aca="true" t="shared" si="33" ref="G53:AB53">G49*G50+G51*G52</f>
        <v>8000</v>
      </c>
      <c r="H53" s="247">
        <f t="shared" si="33"/>
        <v>7200</v>
      </c>
      <c r="I53" s="249">
        <f t="shared" si="33"/>
        <v>28000</v>
      </c>
      <c r="J53" s="219">
        <f t="shared" si="33"/>
        <v>16800</v>
      </c>
      <c r="K53" s="220">
        <f t="shared" si="33"/>
        <v>0</v>
      </c>
      <c r="L53" s="218">
        <f t="shared" si="33"/>
        <v>0</v>
      </c>
      <c r="M53" s="247">
        <f t="shared" si="33"/>
        <v>0</v>
      </c>
      <c r="N53" s="249">
        <f t="shared" si="33"/>
        <v>0</v>
      </c>
      <c r="O53" s="249">
        <f t="shared" si="33"/>
        <v>0</v>
      </c>
      <c r="P53" s="249">
        <f t="shared" si="33"/>
        <v>0</v>
      </c>
      <c r="Q53" s="249">
        <f t="shared" si="33"/>
        <v>0</v>
      </c>
      <c r="R53" s="249">
        <f t="shared" si="33"/>
        <v>0</v>
      </c>
      <c r="S53" s="249">
        <f t="shared" si="33"/>
        <v>0</v>
      </c>
      <c r="T53" s="249">
        <f t="shared" si="33"/>
        <v>0</v>
      </c>
      <c r="U53" s="249">
        <f t="shared" si="33"/>
        <v>0</v>
      </c>
      <c r="V53" s="249">
        <f t="shared" si="33"/>
        <v>0</v>
      </c>
      <c r="W53" s="249">
        <f t="shared" si="33"/>
        <v>0</v>
      </c>
      <c r="X53" s="249">
        <f t="shared" si="33"/>
        <v>0</v>
      </c>
      <c r="Y53" s="249">
        <f t="shared" si="33"/>
        <v>0</v>
      </c>
      <c r="Z53" s="249">
        <f t="shared" si="33"/>
        <v>0</v>
      </c>
      <c r="AA53" s="249">
        <f t="shared" si="33"/>
        <v>0</v>
      </c>
      <c r="AB53" s="249">
        <f t="shared" si="33"/>
        <v>0</v>
      </c>
      <c r="AC53" s="265">
        <f t="shared" si="32"/>
        <v>181200</v>
      </c>
    </row>
    <row r="54" spans="1:29" ht="13.5" thickBot="1">
      <c r="A54" s="267" t="s">
        <v>43</v>
      </c>
      <c r="B54" s="251"/>
      <c r="C54" s="268">
        <f>'тарификация 01.10'!O34</f>
        <v>8</v>
      </c>
      <c r="D54" s="268">
        <f>'тарификация 01.10'!O50</f>
        <v>8</v>
      </c>
      <c r="E54" s="269">
        <f>'тарификация 01.10'!O66</f>
        <v>8</v>
      </c>
      <c r="F54" s="268">
        <f>'тарификация 01.10'!O82</f>
        <v>8</v>
      </c>
      <c r="G54" s="268">
        <f>'тарификация 01.10'!O119</f>
        <v>4</v>
      </c>
      <c r="H54" s="270">
        <f>'тарификация 01.10'!O94</f>
        <v>4</v>
      </c>
      <c r="I54" s="298">
        <f>'тарификация 01.10'!O102</f>
        <v>4</v>
      </c>
      <c r="J54" s="272">
        <f>'тарификация 01.10'!O119</f>
        <v>4</v>
      </c>
      <c r="K54" s="271">
        <f>'тарификация '!O176</f>
        <v>0</v>
      </c>
      <c r="L54" s="268">
        <f>'тарификация '!O192</f>
        <v>0</v>
      </c>
      <c r="M54" s="271">
        <f>'тарификация '!O208</f>
        <v>0</v>
      </c>
      <c r="N54" s="271">
        <f>'тарификация '!O224</f>
        <v>0</v>
      </c>
      <c r="O54" s="271">
        <f>'тарификация '!O240</f>
        <v>0</v>
      </c>
      <c r="P54" s="271">
        <f>'тарификация '!O256</f>
        <v>0</v>
      </c>
      <c r="Q54" s="271">
        <f>'тарификация '!O272</f>
        <v>0</v>
      </c>
      <c r="R54" s="271">
        <f>'тарификация '!O288</f>
        <v>0</v>
      </c>
      <c r="S54" s="271">
        <f>'тарификация '!O304</f>
        <v>0</v>
      </c>
      <c r="T54" s="271">
        <f>'тарификация '!O320</f>
        <v>0</v>
      </c>
      <c r="U54" s="271">
        <f>'тарификация '!O336</f>
        <v>0</v>
      </c>
      <c r="V54" s="271">
        <f>'тарификация '!O352</f>
        <v>0</v>
      </c>
      <c r="W54" s="271">
        <f>'тарификация '!O368</f>
        <v>0</v>
      </c>
      <c r="X54" s="271">
        <f>'тарификация '!O384</f>
        <v>0</v>
      </c>
      <c r="Y54" s="271">
        <f>'тарификация '!O400</f>
        <v>0</v>
      </c>
      <c r="Z54" s="271">
        <f>'тарификация '!O416</f>
        <v>0</v>
      </c>
      <c r="AA54" s="271">
        <f>'тарификация '!O432</f>
        <v>0</v>
      </c>
      <c r="AB54" s="271">
        <f>'тарификация '!O448</f>
        <v>0</v>
      </c>
      <c r="AC54" s="272">
        <f>SUM(C54:AB54)</f>
        <v>48</v>
      </c>
    </row>
    <row r="55" spans="1:29" ht="13.5" thickBot="1">
      <c r="A55" s="578" t="s">
        <v>44</v>
      </c>
      <c r="B55" s="579"/>
      <c r="C55" s="227">
        <f>C47/(C49+C51)</f>
        <v>1200</v>
      </c>
      <c r="D55" s="273">
        <f>D47/(D49+D51)</f>
        <v>1600</v>
      </c>
      <c r="E55" s="274">
        <f>E47/(E49+E51)</f>
        <v>1600</v>
      </c>
      <c r="F55" s="227">
        <f>F47/(F49+F51)</f>
        <v>800</v>
      </c>
      <c r="G55" s="227">
        <f aca="true" t="shared" si="34" ref="G55:AB55">G47/(G49+G51)</f>
        <v>1000</v>
      </c>
      <c r="H55" s="273">
        <f t="shared" si="34"/>
        <v>600</v>
      </c>
      <c r="I55" s="275">
        <f t="shared" si="34"/>
        <v>800</v>
      </c>
      <c r="J55" s="228">
        <f t="shared" si="34"/>
        <v>800</v>
      </c>
      <c r="K55" s="229" t="e">
        <f t="shared" si="34"/>
        <v>#DIV/0!</v>
      </c>
      <c r="L55" s="227" t="e">
        <f t="shared" si="34"/>
        <v>#DIV/0!</v>
      </c>
      <c r="M55" s="273" t="e">
        <f t="shared" si="34"/>
        <v>#DIV/0!</v>
      </c>
      <c r="N55" s="275" t="e">
        <f t="shared" si="34"/>
        <v>#DIV/0!</v>
      </c>
      <c r="O55" s="275" t="e">
        <f t="shared" si="34"/>
        <v>#DIV/0!</v>
      </c>
      <c r="P55" s="275" t="e">
        <f t="shared" si="34"/>
        <v>#DIV/0!</v>
      </c>
      <c r="Q55" s="275" t="e">
        <f t="shared" si="34"/>
        <v>#DIV/0!</v>
      </c>
      <c r="R55" s="275" t="e">
        <f t="shared" si="34"/>
        <v>#DIV/0!</v>
      </c>
      <c r="S55" s="275" t="e">
        <f t="shared" si="34"/>
        <v>#DIV/0!</v>
      </c>
      <c r="T55" s="275" t="e">
        <f t="shared" si="34"/>
        <v>#DIV/0!</v>
      </c>
      <c r="U55" s="275" t="e">
        <f t="shared" si="34"/>
        <v>#DIV/0!</v>
      </c>
      <c r="V55" s="275" t="e">
        <f t="shared" si="34"/>
        <v>#DIV/0!</v>
      </c>
      <c r="W55" s="275" t="e">
        <f t="shared" si="34"/>
        <v>#DIV/0!</v>
      </c>
      <c r="X55" s="275" t="e">
        <f t="shared" si="34"/>
        <v>#DIV/0!</v>
      </c>
      <c r="Y55" s="275" t="e">
        <f t="shared" si="34"/>
        <v>#DIV/0!</v>
      </c>
      <c r="Z55" s="275" t="e">
        <f t="shared" si="34"/>
        <v>#DIV/0!</v>
      </c>
      <c r="AA55" s="275" t="e">
        <f t="shared" si="34"/>
        <v>#DIV/0!</v>
      </c>
      <c r="AB55" s="275" t="e">
        <f t="shared" si="34"/>
        <v>#DIV/0!</v>
      </c>
      <c r="AC55" s="276">
        <f>AC47/(AC49+AC51)</f>
        <v>1091.57</v>
      </c>
    </row>
    <row r="58" spans="1:3" s="193" customFormat="1" ht="12.75">
      <c r="A58" s="574" t="s">
        <v>155</v>
      </c>
      <c r="C58" s="193">
        <f>33700/6</f>
        <v>5616.66666666667</v>
      </c>
    </row>
    <row r="59" spans="1:10" s="193" customFormat="1" ht="12.75">
      <c r="A59" s="574"/>
      <c r="C59" s="193">
        <f>C58/AC53</f>
        <v>0.0309970566593083</v>
      </c>
      <c r="D59" s="193">
        <v>0.0309970566593083</v>
      </c>
      <c r="E59" s="193">
        <v>0.0309970566593083</v>
      </c>
      <c r="F59" s="193">
        <v>0.0309970566593083</v>
      </c>
      <c r="G59" s="193">
        <v>0.0309970566593083</v>
      </c>
      <c r="H59" s="193">
        <v>0.0309970566593083</v>
      </c>
      <c r="I59" s="193">
        <v>0.0309970566593083</v>
      </c>
      <c r="J59" s="193">
        <v>0.0309970566593083</v>
      </c>
    </row>
    <row r="60" spans="1:3" s="193" customFormat="1" ht="12.75">
      <c r="A60" s="574" t="s">
        <v>86</v>
      </c>
      <c r="C60" s="193">
        <f>2682/6</f>
        <v>447</v>
      </c>
    </row>
    <row r="61" spans="1:10" s="193" customFormat="1" ht="12.75">
      <c r="A61" s="574"/>
      <c r="C61" s="193">
        <f>C60/AC53</f>
        <v>0.00246688741721854</v>
      </c>
      <c r="D61" s="193">
        <v>0.00246688741721854</v>
      </c>
      <c r="E61" s="193">
        <v>0.00246688741721854</v>
      </c>
      <c r="F61" s="193">
        <v>0.00246688741721854</v>
      </c>
      <c r="G61" s="193">
        <v>0.00246688741721854</v>
      </c>
      <c r="H61" s="193">
        <v>0.00246688741721854</v>
      </c>
      <c r="I61" s="193">
        <v>0.00246688741721854</v>
      </c>
      <c r="J61" s="193">
        <v>0.00246688741721854</v>
      </c>
    </row>
    <row r="62" spans="1:3" s="193" customFormat="1" ht="12.75">
      <c r="A62" s="574" t="s">
        <v>261</v>
      </c>
      <c r="C62" s="193">
        <f>28000/6</f>
        <v>4666.66666666667</v>
      </c>
    </row>
    <row r="63" spans="1:10" s="193" customFormat="1" ht="12.75">
      <c r="A63" s="574"/>
      <c r="C63" s="193">
        <f>C62/AC53</f>
        <v>0.0257542310522443</v>
      </c>
      <c r="D63" s="193">
        <v>0.0257542310522443</v>
      </c>
      <c r="E63" s="193">
        <v>0.0257542310522443</v>
      </c>
      <c r="F63" s="193">
        <v>0.0257542310522443</v>
      </c>
      <c r="G63" s="193">
        <v>0.0257542310522443</v>
      </c>
      <c r="H63" s="193">
        <v>0.0257542310522443</v>
      </c>
      <c r="I63" s="193">
        <v>0.0257542310522443</v>
      </c>
      <c r="J63" s="193">
        <v>0.0257542310522443</v>
      </c>
    </row>
    <row r="64" s="193" customFormat="1" ht="12.75"/>
  </sheetData>
  <sheetProtection/>
  <mergeCells count="8">
    <mergeCell ref="A60:A61"/>
    <mergeCell ref="A62:A63"/>
    <mergeCell ref="A5:AC5"/>
    <mergeCell ref="A6:AC6"/>
    <mergeCell ref="A7:B7"/>
    <mergeCell ref="A47:B47"/>
    <mergeCell ref="A55:B55"/>
    <mergeCell ref="A58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O65"/>
  <sheetViews>
    <sheetView zoomScalePageLayoutView="0" workbookViewId="0" topLeftCell="B5">
      <selection activeCell="H23" sqref="H23"/>
    </sheetView>
  </sheetViews>
  <sheetFormatPr defaultColWidth="11.75390625" defaultRowHeight="12.75"/>
  <cols>
    <col min="1" max="1" width="4.125" style="44" customWidth="1"/>
    <col min="2" max="2" width="53.625" style="44" customWidth="1"/>
    <col min="3" max="3" width="9.875" style="44" customWidth="1"/>
    <col min="4" max="4" width="14.75390625" style="44" customWidth="1"/>
    <col min="5" max="5" width="14.375" style="44" customWidth="1"/>
    <col min="6" max="6" width="15.375" style="358" customWidth="1"/>
    <col min="7" max="7" width="16.75390625" style="44" customWidth="1"/>
    <col min="8" max="8" width="16.125" style="44" customWidth="1"/>
    <col min="9" max="9" width="17.625" style="44" customWidth="1"/>
    <col min="10" max="10" width="14.125" style="44" customWidth="1"/>
    <col min="11" max="16384" width="11.75390625" style="44" customWidth="1"/>
  </cols>
  <sheetData>
    <row r="1" spans="1:10" ht="12.75">
      <c r="A1" s="299"/>
      <c r="B1" s="190" t="s">
        <v>226</v>
      </c>
      <c r="C1" s="300"/>
      <c r="D1" s="300"/>
      <c r="G1" s="301" t="s">
        <v>10</v>
      </c>
      <c r="J1" s="300"/>
    </row>
    <row r="2" spans="1:10" ht="12.75">
      <c r="A2" s="299"/>
      <c r="B2" s="300"/>
      <c r="C2" s="300"/>
      <c r="D2" s="300"/>
      <c r="G2" s="303" t="s">
        <v>210</v>
      </c>
      <c r="I2" s="299" t="s">
        <v>221</v>
      </c>
      <c r="J2" s="300"/>
    </row>
    <row r="3" spans="1:8" ht="12.75">
      <c r="A3" s="299"/>
      <c r="C3" s="299"/>
      <c r="D3" s="299"/>
      <c r="E3" s="299"/>
      <c r="F3" s="300"/>
      <c r="G3" s="299"/>
      <c r="H3" s="299"/>
    </row>
    <row r="4" spans="1:8" ht="12.75">
      <c r="A4" s="299"/>
      <c r="B4" s="299"/>
      <c r="C4" s="299"/>
      <c r="D4" s="299"/>
      <c r="E4" s="299"/>
      <c r="F4" s="300"/>
      <c r="G4" s="299"/>
      <c r="H4" s="299"/>
    </row>
    <row r="5" spans="1:9" ht="12.75">
      <c r="A5" s="299"/>
      <c r="B5" s="299"/>
      <c r="C5" s="299"/>
      <c r="D5" s="299"/>
      <c r="E5" s="299"/>
      <c r="F5" s="300"/>
      <c r="G5" s="299"/>
      <c r="H5" s="299"/>
      <c r="I5" s="299"/>
    </row>
    <row r="6" spans="1:9" ht="12.75">
      <c r="A6" s="627" t="s">
        <v>68</v>
      </c>
      <c r="B6" s="627"/>
      <c r="C6" s="627"/>
      <c r="D6" s="627"/>
      <c r="E6" s="627"/>
      <c r="F6" s="627"/>
      <c r="G6" s="627"/>
      <c r="H6" s="627"/>
      <c r="I6" s="627"/>
    </row>
    <row r="7" spans="1:9" ht="12.75">
      <c r="A7" s="627" t="s">
        <v>69</v>
      </c>
      <c r="B7" s="627"/>
      <c r="C7" s="627"/>
      <c r="D7" s="627"/>
      <c r="E7" s="627"/>
      <c r="F7" s="627"/>
      <c r="G7" s="627"/>
      <c r="H7" s="627"/>
      <c r="I7" s="627"/>
    </row>
    <row r="8" spans="1:9" ht="12.75">
      <c r="A8" s="627" t="s">
        <v>257</v>
      </c>
      <c r="B8" s="627"/>
      <c r="C8" s="627"/>
      <c r="D8" s="627"/>
      <c r="E8" s="627"/>
      <c r="F8" s="627"/>
      <c r="G8" s="627"/>
      <c r="H8" s="627"/>
      <c r="I8" s="627"/>
    </row>
    <row r="9" spans="1:9" ht="12" customHeight="1">
      <c r="A9" s="638"/>
      <c r="B9" s="638"/>
      <c r="C9" s="638"/>
      <c r="D9" s="638"/>
      <c r="E9" s="638"/>
      <c r="F9" s="638"/>
      <c r="G9" s="638"/>
      <c r="H9" s="638"/>
      <c r="I9" s="638"/>
    </row>
    <row r="10" spans="1:9" ht="12.75">
      <c r="A10" s="627" t="s">
        <v>70</v>
      </c>
      <c r="B10" s="627"/>
      <c r="C10" s="627"/>
      <c r="D10" s="627"/>
      <c r="E10" s="627"/>
      <c r="F10" s="627"/>
      <c r="G10" s="627"/>
      <c r="H10" s="627"/>
      <c r="I10" s="627"/>
    </row>
    <row r="11" spans="1:9" ht="13.5" thickBot="1">
      <c r="A11" s="299"/>
      <c r="B11" s="299"/>
      <c r="C11" s="299"/>
      <c r="D11" s="299"/>
      <c r="E11" s="299"/>
      <c r="F11" s="300"/>
      <c r="G11" s="299"/>
      <c r="H11" s="299"/>
      <c r="I11" s="299"/>
    </row>
    <row r="12" spans="1:9" s="358" customFormat="1" ht="24.75" customHeight="1" thickBot="1">
      <c r="A12" s="629" t="s">
        <v>71</v>
      </c>
      <c r="B12" s="631" t="s">
        <v>72</v>
      </c>
      <c r="C12" s="632"/>
      <c r="D12" s="635" t="s">
        <v>73</v>
      </c>
      <c r="E12" s="636"/>
      <c r="F12" s="636"/>
      <c r="G12" s="636"/>
      <c r="H12" s="636"/>
      <c r="I12" s="637"/>
    </row>
    <row r="13" spans="1:9" s="358" customFormat="1" ht="42.75" customHeight="1" thickBot="1">
      <c r="A13" s="630"/>
      <c r="B13" s="633"/>
      <c r="C13" s="634"/>
      <c r="D13" s="359" t="s">
        <v>205</v>
      </c>
      <c r="E13" s="359" t="s">
        <v>206</v>
      </c>
      <c r="F13" s="359" t="s">
        <v>207</v>
      </c>
      <c r="G13" s="359" t="s">
        <v>208</v>
      </c>
      <c r="H13" s="360" t="s">
        <v>53</v>
      </c>
      <c r="I13" s="360">
        <v>0.8</v>
      </c>
    </row>
    <row r="14" spans="1:10" s="358" customFormat="1" ht="15">
      <c r="A14" s="361">
        <v>1</v>
      </c>
      <c r="B14" s="624" t="str">
        <f>доходы!B11</f>
        <v>Танцевальная студия - 1</v>
      </c>
      <c r="C14" s="529"/>
      <c r="D14" s="134">
        <f>'калькуляция '!C53*3</f>
        <v>216000</v>
      </c>
      <c r="E14" s="134">
        <f>'калькуляция '!$C$53*0</f>
        <v>0</v>
      </c>
      <c r="F14" s="134">
        <f>'калькуляция 01.10.'!$C$53*0</f>
        <v>0</v>
      </c>
      <c r="G14" s="134">
        <f>'калькуляция 01.10.'!C53*3</f>
        <v>140400</v>
      </c>
      <c r="H14" s="362">
        <f aca="true" t="shared" si="0" ref="H14:H22">D14+E14+F14+G14</f>
        <v>356400</v>
      </c>
      <c r="I14" s="363">
        <f>H14*0.8</f>
        <v>285120</v>
      </c>
      <c r="J14" s="364"/>
    </row>
    <row r="15" spans="1:10" s="358" customFormat="1" ht="15">
      <c r="A15" s="361">
        <v>2</v>
      </c>
      <c r="B15" s="628" t="str">
        <f>доходы!B13</f>
        <v>Творческая студия</v>
      </c>
      <c r="C15" s="505"/>
      <c r="D15" s="134">
        <f>'калькуляция '!D53*3</f>
        <v>120000</v>
      </c>
      <c r="E15" s="134">
        <v>0</v>
      </c>
      <c r="F15" s="134">
        <v>0</v>
      </c>
      <c r="G15" s="134">
        <f>'калькуляция 01.10.'!D53*3</f>
        <v>110400</v>
      </c>
      <c r="H15" s="362">
        <f t="shared" si="0"/>
        <v>230400</v>
      </c>
      <c r="I15" s="363">
        <f aca="true" t="shared" si="1" ref="I15:I21">H15*0.8</f>
        <v>184320</v>
      </c>
      <c r="J15" s="364"/>
    </row>
    <row r="16" spans="1:9" s="489" customFormat="1" ht="15">
      <c r="A16" s="486">
        <v>3</v>
      </c>
      <c r="B16" s="625" t="str">
        <f>доходы!B15</f>
        <v>Услуга логопедической помощи</v>
      </c>
      <c r="C16" s="626"/>
      <c r="D16" s="487">
        <f>'калькуляция '!E53*3</f>
        <v>48000</v>
      </c>
      <c r="E16" s="487">
        <f>'калькуляция '!$D$53*0</f>
        <v>0</v>
      </c>
      <c r="F16" s="487">
        <f>'калькуляция 01.10.'!$D$53*0</f>
        <v>0</v>
      </c>
      <c r="G16" s="487">
        <f>'калькуляция 01.10.'!E53*3</f>
        <v>91200</v>
      </c>
      <c r="H16" s="488">
        <f t="shared" si="0"/>
        <v>139200</v>
      </c>
      <c r="I16" s="363">
        <f t="shared" si="1"/>
        <v>111360</v>
      </c>
    </row>
    <row r="17" spans="1:9" s="489" customFormat="1" ht="15">
      <c r="A17" s="486">
        <v>4</v>
      </c>
      <c r="B17" s="625" t="str">
        <f>доходы!B17</f>
        <v>Мультстудия</v>
      </c>
      <c r="C17" s="626"/>
      <c r="D17" s="487">
        <f>'калькуляция '!F53*3</f>
        <v>36000</v>
      </c>
      <c r="E17" s="487">
        <f>'калькуляция '!$E$53*0</f>
        <v>0</v>
      </c>
      <c r="F17" s="487">
        <f>'калькуляция 01.10.'!$E$53*0</f>
        <v>0</v>
      </c>
      <c r="G17" s="487">
        <f>'калькуляция 01.10.'!F53*3</f>
        <v>21600</v>
      </c>
      <c r="H17" s="488">
        <f t="shared" si="0"/>
        <v>57600</v>
      </c>
      <c r="I17" s="363">
        <f t="shared" si="1"/>
        <v>46080</v>
      </c>
    </row>
    <row r="18" spans="1:9" s="489" customFormat="1" ht="15">
      <c r="A18" s="486">
        <v>5</v>
      </c>
      <c r="B18" s="490" t="str">
        <f>доходы!B19</f>
        <v>Танцевальная студия - 2</v>
      </c>
      <c r="C18" s="491"/>
      <c r="D18" s="487">
        <v>0</v>
      </c>
      <c r="E18" s="487">
        <v>0</v>
      </c>
      <c r="F18" s="487">
        <v>0</v>
      </c>
      <c r="G18" s="487">
        <f>'калькуляция 01.10.'!G53*3</f>
        <v>24000</v>
      </c>
      <c r="H18" s="488">
        <f t="shared" si="0"/>
        <v>24000</v>
      </c>
      <c r="I18" s="363">
        <f t="shared" si="1"/>
        <v>19200</v>
      </c>
    </row>
    <row r="19" spans="1:9" s="489" customFormat="1" ht="15">
      <c r="A19" s="486">
        <v>6</v>
      </c>
      <c r="B19" s="490" t="str">
        <f>доходы!B20</f>
        <v>Творческая студия "Акварелька"-1</v>
      </c>
      <c r="C19" s="491"/>
      <c r="D19" s="487">
        <v>0</v>
      </c>
      <c r="E19" s="487">
        <v>0</v>
      </c>
      <c r="F19" s="487">
        <v>0</v>
      </c>
      <c r="G19" s="487">
        <f>'калькуляция 01.10.'!H53*3</f>
        <v>21600</v>
      </c>
      <c r="H19" s="488">
        <f t="shared" si="0"/>
        <v>21600</v>
      </c>
      <c r="I19" s="363">
        <f t="shared" si="1"/>
        <v>17280</v>
      </c>
    </row>
    <row r="20" spans="1:9" s="358" customFormat="1" ht="15">
      <c r="A20" s="361">
        <v>7</v>
      </c>
      <c r="B20" s="628" t="str">
        <f>доходы!B21</f>
        <v>Творческая студия "Акварелька"</v>
      </c>
      <c r="C20" s="505"/>
      <c r="D20" s="74">
        <v>0</v>
      </c>
      <c r="E20" s="134">
        <f>'калькуляция '!$F$53*0</f>
        <v>0</v>
      </c>
      <c r="F20" s="134">
        <f>'калькуляция 01.10.'!$F$53*0</f>
        <v>0</v>
      </c>
      <c r="G20" s="134">
        <f>'калькуляция 01.10.'!I53*3</f>
        <v>84000</v>
      </c>
      <c r="H20" s="362">
        <f t="shared" si="0"/>
        <v>84000</v>
      </c>
      <c r="I20" s="363">
        <f t="shared" si="1"/>
        <v>67200</v>
      </c>
    </row>
    <row r="21" spans="1:9" s="358" customFormat="1" ht="13.5" thickBot="1">
      <c r="A21" s="361"/>
      <c r="B21" s="358" t="str">
        <f>доходы!B22</f>
        <v>Студия конструирования "Йохокуб"</v>
      </c>
      <c r="D21" s="74">
        <v>0</v>
      </c>
      <c r="E21" s="74">
        <f>'калькуляция 01.10.'!$G$53*0</f>
        <v>0</v>
      </c>
      <c r="F21" s="134">
        <f>'калькуляция 01.10.'!$G$53*0</f>
        <v>0</v>
      </c>
      <c r="G21" s="134">
        <f>'калькуляция 01.10.'!J53*3</f>
        <v>50400</v>
      </c>
      <c r="H21" s="362">
        <f t="shared" si="0"/>
        <v>50400</v>
      </c>
      <c r="I21" s="363">
        <f t="shared" si="1"/>
        <v>40320</v>
      </c>
    </row>
    <row r="22" spans="1:9" s="358" customFormat="1" ht="15.75" hidden="1" thickBot="1">
      <c r="A22" s="361">
        <v>6</v>
      </c>
      <c r="B22" s="628"/>
      <c r="C22" s="505"/>
      <c r="D22" s="74">
        <f>'калькуляция '!$H$53*3</f>
        <v>0</v>
      </c>
      <c r="E22" s="74"/>
      <c r="F22" s="74">
        <f>'калькуляция '!$H$53*0</f>
        <v>0</v>
      </c>
      <c r="G22" s="134">
        <v>0</v>
      </c>
      <c r="H22" s="365">
        <f t="shared" si="0"/>
        <v>0</v>
      </c>
      <c r="I22" s="366">
        <f>H22*0.8</f>
        <v>0</v>
      </c>
    </row>
    <row r="23" spans="1:249" s="358" customFormat="1" ht="13.5" thickBot="1">
      <c r="A23" s="367"/>
      <c r="B23" s="616" t="s">
        <v>74</v>
      </c>
      <c r="C23" s="617"/>
      <c r="D23" s="368">
        <f aca="true" t="shared" si="2" ref="D23:I23">SUM(D14:D22)</f>
        <v>420000</v>
      </c>
      <c r="E23" s="368">
        <f t="shared" si="2"/>
        <v>0</v>
      </c>
      <c r="F23" s="368">
        <f t="shared" si="2"/>
        <v>0</v>
      </c>
      <c r="G23" s="368">
        <f>SUM(G14:G22)</f>
        <v>543600</v>
      </c>
      <c r="H23" s="368">
        <f t="shared" si="2"/>
        <v>963600</v>
      </c>
      <c r="I23" s="369">
        <f t="shared" si="2"/>
        <v>770880</v>
      </c>
      <c r="J23" s="37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  <c r="IO23" s="300"/>
    </row>
    <row r="26" spans="1:9" ht="12.75">
      <c r="A26" s="627" t="s">
        <v>75</v>
      </c>
      <c r="B26" s="627"/>
      <c r="C26" s="627"/>
      <c r="D26" s="627"/>
      <c r="E26" s="627"/>
      <c r="F26" s="627"/>
      <c r="G26" s="627"/>
      <c r="H26" s="627"/>
      <c r="I26" s="627"/>
    </row>
    <row r="27" spans="1:9" ht="13.5" thickBot="1">
      <c r="A27" s="299"/>
      <c r="B27" s="299"/>
      <c r="C27" s="299"/>
      <c r="D27" s="299"/>
      <c r="E27" s="299"/>
      <c r="F27" s="300"/>
      <c r="G27" s="299"/>
      <c r="H27" s="299"/>
      <c r="I27" s="299"/>
    </row>
    <row r="28" spans="1:9" ht="13.5" thickBot="1">
      <c r="A28" s="618" t="s">
        <v>71</v>
      </c>
      <c r="B28" s="620" t="s">
        <v>76</v>
      </c>
      <c r="C28" s="622" t="s">
        <v>77</v>
      </c>
      <c r="D28" s="613" t="s">
        <v>78</v>
      </c>
      <c r="E28" s="614"/>
      <c r="F28" s="614"/>
      <c r="G28" s="614"/>
      <c r="H28" s="614"/>
      <c r="I28" s="615"/>
    </row>
    <row r="29" spans="1:9" ht="13.5" thickBot="1">
      <c r="A29" s="619"/>
      <c r="B29" s="621"/>
      <c r="C29" s="623"/>
      <c r="D29" s="305" t="s">
        <v>205</v>
      </c>
      <c r="E29" s="305" t="s">
        <v>206</v>
      </c>
      <c r="F29" s="359" t="s">
        <v>207</v>
      </c>
      <c r="G29" s="305" t="s">
        <v>208</v>
      </c>
      <c r="H29" s="306" t="s">
        <v>53</v>
      </c>
      <c r="I29" s="304">
        <v>0.8</v>
      </c>
    </row>
    <row r="30" spans="1:9" ht="12.75">
      <c r="A30" s="307">
        <v>1</v>
      </c>
      <c r="B30" s="308" t="s">
        <v>58</v>
      </c>
      <c r="C30" s="309">
        <v>211</v>
      </c>
      <c r="D30" s="214">
        <f>'калькуляция '!AC12*3</f>
        <v>142610.58</v>
      </c>
      <c r="E30" s="214">
        <f>'калькуляция '!AC12*0</f>
        <v>0</v>
      </c>
      <c r="F30" s="214">
        <f>'калькуляция 01.10.'!AC12*0</f>
        <v>0</v>
      </c>
      <c r="G30" s="214">
        <f>'калькуляция 01.10.'!AC12*3</f>
        <v>142394.46</v>
      </c>
      <c r="H30" s="213">
        <f>D30+E30+F30+G30</f>
        <v>285005.04</v>
      </c>
      <c r="I30" s="214">
        <f>H30*0.8</f>
        <v>228004.03</v>
      </c>
    </row>
    <row r="31" spans="1:9" ht="12.75">
      <c r="A31" s="310">
        <v>2</v>
      </c>
      <c r="B31" s="311" t="s">
        <v>20</v>
      </c>
      <c r="C31" s="312">
        <v>213</v>
      </c>
      <c r="D31" s="214">
        <f>'калькуляция '!AC13*3</f>
        <v>43068.42</v>
      </c>
      <c r="E31" s="214">
        <f>'калькуляция '!AC13*0</f>
        <v>0</v>
      </c>
      <c r="F31" s="214">
        <f>'калькуляция 01.10.'!AC13*0</f>
        <v>0</v>
      </c>
      <c r="G31" s="214">
        <f>'калькуляция 01.10.'!AC13*3</f>
        <v>43003.11</v>
      </c>
      <c r="H31" s="213">
        <f aca="true" t="shared" si="3" ref="H31:H36">D31+E31+F31+G31</f>
        <v>86071.53</v>
      </c>
      <c r="I31" s="219">
        <f aca="true" t="shared" si="4" ref="I31:I58">H31*0.8</f>
        <v>68857.22</v>
      </c>
    </row>
    <row r="32" spans="1:9" ht="12.75">
      <c r="A32" s="310">
        <v>3</v>
      </c>
      <c r="B32" s="313" t="s">
        <v>21</v>
      </c>
      <c r="C32" s="309">
        <v>211</v>
      </c>
      <c r="D32" s="214">
        <f>'калькуляция '!AC14*3</f>
        <v>35652.66</v>
      </c>
      <c r="E32" s="214">
        <f>'калькуляция '!AC14*0</f>
        <v>0</v>
      </c>
      <c r="F32" s="214">
        <f>'калькуляция 01.10.'!AC14*0</f>
        <v>0</v>
      </c>
      <c r="G32" s="214">
        <f>'калькуляция 01.10.'!AC14*3</f>
        <v>35598.63</v>
      </c>
      <c r="H32" s="213">
        <f t="shared" si="3"/>
        <v>71251.29</v>
      </c>
      <c r="I32" s="219">
        <f t="shared" si="4"/>
        <v>57001.03</v>
      </c>
    </row>
    <row r="33" spans="1:9" ht="12.75">
      <c r="A33" s="310">
        <v>4</v>
      </c>
      <c r="B33" s="314" t="s">
        <v>22</v>
      </c>
      <c r="C33" s="312">
        <v>213</v>
      </c>
      <c r="D33" s="214">
        <f>'калькуляция '!AC15*3</f>
        <v>10767.09</v>
      </c>
      <c r="E33" s="214">
        <f>'калькуляция '!AC15*0</f>
        <v>0</v>
      </c>
      <c r="F33" s="214">
        <f>'калькуляция 01.10.'!AC15*0</f>
        <v>0</v>
      </c>
      <c r="G33" s="214">
        <f>'калькуляция 01.10.'!AC15*3</f>
        <v>10750.8</v>
      </c>
      <c r="H33" s="213">
        <f t="shared" si="3"/>
        <v>21517.89</v>
      </c>
      <c r="I33" s="219">
        <f t="shared" si="4"/>
        <v>17214.31</v>
      </c>
    </row>
    <row r="34" spans="1:9" ht="12.75">
      <c r="A34" s="310">
        <v>5</v>
      </c>
      <c r="B34" s="315" t="s">
        <v>59</v>
      </c>
      <c r="C34" s="312">
        <v>211</v>
      </c>
      <c r="D34" s="214">
        <f>'калькуляция '!AC16*3</f>
        <v>21294.24</v>
      </c>
      <c r="E34" s="214">
        <f>'калькуляция '!AC16*0</f>
        <v>0</v>
      </c>
      <c r="F34" s="214">
        <f>'калькуляция 01.10.'!AC16*0</f>
        <v>0</v>
      </c>
      <c r="G34" s="214">
        <f>'калькуляция 01.10.'!AC16*3</f>
        <v>21261.99</v>
      </c>
      <c r="H34" s="213">
        <f t="shared" si="3"/>
        <v>42556.23</v>
      </c>
      <c r="I34" s="219">
        <f t="shared" si="4"/>
        <v>34044.98</v>
      </c>
    </row>
    <row r="35" spans="1:9" ht="12.75">
      <c r="A35" s="310">
        <v>6</v>
      </c>
      <c r="B35" s="315" t="s">
        <v>24</v>
      </c>
      <c r="C35" s="312">
        <v>213</v>
      </c>
      <c r="D35" s="214">
        <f>'калькуляция '!AC17*3</f>
        <v>6430.86</v>
      </c>
      <c r="E35" s="214">
        <f>'калькуляция '!AC17*0</f>
        <v>0</v>
      </c>
      <c r="F35" s="214">
        <f>'калькуляция 01.10.'!AC17*0</f>
        <v>0</v>
      </c>
      <c r="G35" s="214">
        <f>'калькуляция 01.10.'!AC17*3</f>
        <v>6421.08</v>
      </c>
      <c r="H35" s="213">
        <f t="shared" si="3"/>
        <v>12851.94</v>
      </c>
      <c r="I35" s="219">
        <f t="shared" si="4"/>
        <v>10281.55</v>
      </c>
    </row>
    <row r="36" spans="1:9" ht="13.5" thickBot="1">
      <c r="A36" s="316">
        <v>7</v>
      </c>
      <c r="B36" s="315" t="s">
        <v>60</v>
      </c>
      <c r="C36" s="317">
        <v>340</v>
      </c>
      <c r="D36" s="214">
        <f>'калькуляция '!AC18*3</f>
        <v>0</v>
      </c>
      <c r="E36" s="214">
        <f>'калькуляция '!$AC$18*0</f>
        <v>0</v>
      </c>
      <c r="F36" s="214">
        <f>'калькуляция 01.10.'!AC18*1</f>
        <v>0</v>
      </c>
      <c r="G36" s="214">
        <f>'калькуляция 01.10.'!AC18*3</f>
        <v>0</v>
      </c>
      <c r="H36" s="213">
        <f t="shared" si="3"/>
        <v>0</v>
      </c>
      <c r="I36" s="219">
        <f t="shared" si="4"/>
        <v>0</v>
      </c>
    </row>
    <row r="37" spans="1:9" ht="13.5" thickBot="1">
      <c r="A37" s="318"/>
      <c r="B37" s="319" t="s">
        <v>25</v>
      </c>
      <c r="C37" s="320"/>
      <c r="D37" s="228">
        <f aca="true" t="shared" si="5" ref="D37:I37">D30+D31+D36+D32+D33+D34+D35</f>
        <v>259823.85</v>
      </c>
      <c r="E37" s="228">
        <f t="shared" si="5"/>
        <v>0</v>
      </c>
      <c r="F37" s="229">
        <f t="shared" si="5"/>
        <v>0</v>
      </c>
      <c r="G37" s="229">
        <f t="shared" si="5"/>
        <v>259430.07</v>
      </c>
      <c r="H37" s="227">
        <f t="shared" si="5"/>
        <v>519253.92</v>
      </c>
      <c r="I37" s="228">
        <f t="shared" si="5"/>
        <v>415403.12</v>
      </c>
    </row>
    <row r="38" spans="1:9" ht="12.75">
      <c r="A38" s="321">
        <v>8</v>
      </c>
      <c r="B38" s="308" t="s">
        <v>27</v>
      </c>
      <c r="C38" s="309">
        <v>221</v>
      </c>
      <c r="D38" s="214">
        <f>'калькуляция '!AC21*3</f>
        <v>821.34</v>
      </c>
      <c r="E38" s="214">
        <f>'калькуляция '!AC21*0</f>
        <v>0</v>
      </c>
      <c r="F38" s="214">
        <f>'калькуляция 01.10.'!AC21*0</f>
        <v>0</v>
      </c>
      <c r="G38" s="214">
        <f>'калькуляция 01.10.'!AC21*3</f>
        <v>821.37</v>
      </c>
      <c r="H38" s="213">
        <f>D38+E38+F38+G38</f>
        <v>1642.71</v>
      </c>
      <c r="I38" s="219">
        <f t="shared" si="4"/>
        <v>1314.17</v>
      </c>
    </row>
    <row r="39" spans="1:9" ht="12.75">
      <c r="A39" s="310">
        <v>9</v>
      </c>
      <c r="B39" s="308" t="s">
        <v>28</v>
      </c>
      <c r="C39" s="309">
        <v>222</v>
      </c>
      <c r="D39" s="214">
        <f>'калькуляция '!AC22*3</f>
        <v>0</v>
      </c>
      <c r="E39" s="214">
        <f>'калькуляция '!AC22*0</f>
        <v>0</v>
      </c>
      <c r="F39" s="214">
        <f>'калькуляция 01.10.'!AC22*0</f>
        <v>0</v>
      </c>
      <c r="G39" s="214">
        <f>'калькуляция 01.10.'!AC22*3</f>
        <v>0</v>
      </c>
      <c r="H39" s="213">
        <f aca="true" t="shared" si="6" ref="H39:H44">D39+E39+F39+G39</f>
        <v>0</v>
      </c>
      <c r="I39" s="219">
        <f t="shared" si="4"/>
        <v>0</v>
      </c>
    </row>
    <row r="40" spans="1:10" ht="12.75">
      <c r="A40" s="310">
        <v>10</v>
      </c>
      <c r="B40" s="308" t="s">
        <v>29</v>
      </c>
      <c r="C40" s="309">
        <v>223</v>
      </c>
      <c r="D40" s="214">
        <f>'калькуляция '!AC23*3</f>
        <v>38480.04</v>
      </c>
      <c r="E40" s="214">
        <f>'калькуляция '!AC23*0</f>
        <v>0</v>
      </c>
      <c r="F40" s="214">
        <f>'калькуляция 01.10.'!AC23*0</f>
        <v>0</v>
      </c>
      <c r="G40" s="214">
        <f>'калькуляция 01.10.'!AC23*3</f>
        <v>38480.04</v>
      </c>
      <c r="H40" s="213">
        <f t="shared" si="6"/>
        <v>76960.08</v>
      </c>
      <c r="I40" s="219">
        <f t="shared" si="4"/>
        <v>61568.06</v>
      </c>
      <c r="J40" s="302"/>
    </row>
    <row r="41" spans="1:10" ht="12.75">
      <c r="A41" s="310">
        <v>11</v>
      </c>
      <c r="B41" s="313" t="s">
        <v>159</v>
      </c>
      <c r="C41" s="309">
        <v>225</v>
      </c>
      <c r="D41" s="214">
        <f>'калькуляция '!AC24*3</f>
        <v>5963.79</v>
      </c>
      <c r="E41" s="214">
        <f>'калькуляция '!AC24*0</f>
        <v>0</v>
      </c>
      <c r="F41" s="214">
        <f>'калькуляция 01.10.'!AC24*0</f>
        <v>0</v>
      </c>
      <c r="G41" s="214">
        <f>'калькуляция 01.10.'!AC24*3</f>
        <v>5963.79</v>
      </c>
      <c r="H41" s="213">
        <f t="shared" si="6"/>
        <v>11927.58</v>
      </c>
      <c r="I41" s="219">
        <f t="shared" si="4"/>
        <v>9542.06</v>
      </c>
      <c r="J41" s="44" t="s">
        <v>79</v>
      </c>
    </row>
    <row r="42" spans="1:9" ht="12.75">
      <c r="A42" s="310">
        <v>12</v>
      </c>
      <c r="B42" s="6" t="s">
        <v>183</v>
      </c>
      <c r="C42" s="7">
        <v>225</v>
      </c>
      <c r="D42" s="214">
        <f>'калькуляция '!AC25*3</f>
        <v>0</v>
      </c>
      <c r="E42" s="214">
        <f>'калькуляция '!AC25*2</f>
        <v>0</v>
      </c>
      <c r="F42" s="214">
        <f>'калькуляция 01.10.'!AC25*1</f>
        <v>0</v>
      </c>
      <c r="G42" s="214">
        <f>'калькуляция 01.10.'!AC25*3</f>
        <v>0</v>
      </c>
      <c r="H42" s="213">
        <f t="shared" si="6"/>
        <v>0</v>
      </c>
      <c r="I42" s="219">
        <f t="shared" si="4"/>
        <v>0</v>
      </c>
    </row>
    <row r="43" spans="1:9" ht="12.75">
      <c r="A43" s="310">
        <v>13</v>
      </c>
      <c r="B43" s="315" t="s">
        <v>60</v>
      </c>
      <c r="C43" s="309">
        <v>346</v>
      </c>
      <c r="D43" s="214">
        <f>'калькуляция '!AC26*3</f>
        <v>0</v>
      </c>
      <c r="E43" s="214">
        <f>'калькуляция '!AC26*2</f>
        <v>0</v>
      </c>
      <c r="F43" s="214">
        <f>'калькуляция 01.10.'!AC26*1</f>
        <v>0</v>
      </c>
      <c r="G43" s="214">
        <f>'калькуляция 01.10.'!AC26*3</f>
        <v>0</v>
      </c>
      <c r="H43" s="213">
        <f t="shared" si="6"/>
        <v>0</v>
      </c>
      <c r="I43" s="219">
        <f t="shared" si="4"/>
        <v>0</v>
      </c>
    </row>
    <row r="44" spans="1:9" ht="13.5" thickBot="1">
      <c r="A44" s="316">
        <v>14</v>
      </c>
      <c r="B44" s="313" t="s">
        <v>30</v>
      </c>
      <c r="C44" s="309"/>
      <c r="D44" s="214">
        <f>'калькуляция '!AC27*3</f>
        <v>0</v>
      </c>
      <c r="E44" s="214">
        <f>'калькуляция '!AC27*2</f>
        <v>0</v>
      </c>
      <c r="F44" s="214">
        <f>'калькуляция 01.10.'!AC27*1</f>
        <v>0</v>
      </c>
      <c r="G44" s="214">
        <f>'калькуляция 01.10.'!AC27*3</f>
        <v>0</v>
      </c>
      <c r="H44" s="213">
        <f t="shared" si="6"/>
        <v>0</v>
      </c>
      <c r="I44" s="219">
        <f t="shared" si="4"/>
        <v>0</v>
      </c>
    </row>
    <row r="45" spans="1:9" ht="13.5" thickBot="1">
      <c r="A45" s="318"/>
      <c r="B45" s="319" t="s">
        <v>31</v>
      </c>
      <c r="C45" s="320"/>
      <c r="D45" s="228">
        <f aca="true" t="shared" si="7" ref="D45:I45">SUM(D38:D44)</f>
        <v>45265.17</v>
      </c>
      <c r="E45" s="228">
        <f t="shared" si="7"/>
        <v>0</v>
      </c>
      <c r="F45" s="228">
        <f t="shared" si="7"/>
        <v>0</v>
      </c>
      <c r="G45" s="228">
        <f t="shared" si="7"/>
        <v>45265.2</v>
      </c>
      <c r="H45" s="228">
        <f t="shared" si="7"/>
        <v>90530.37</v>
      </c>
      <c r="I45" s="228">
        <f t="shared" si="7"/>
        <v>72424.29</v>
      </c>
    </row>
    <row r="46" spans="1:9" ht="12.75">
      <c r="A46" s="321">
        <v>15</v>
      </c>
      <c r="B46" s="322" t="s">
        <v>149</v>
      </c>
      <c r="C46" s="309">
        <v>211</v>
      </c>
      <c r="D46" s="214">
        <f>'калькуляция '!AC30*3</f>
        <v>25875</v>
      </c>
      <c r="E46" s="214">
        <f>'калькуляция '!AC30*0</f>
        <v>0</v>
      </c>
      <c r="F46" s="214">
        <f>'калькуляция 01.10.'!AC30*0</f>
        <v>0</v>
      </c>
      <c r="G46" s="214">
        <f>'калькуляция 01.10.'!AC30*3</f>
        <v>25875</v>
      </c>
      <c r="H46" s="213">
        <f>D46+E46+F46+G46</f>
        <v>51750</v>
      </c>
      <c r="I46" s="219">
        <f t="shared" si="4"/>
        <v>41400</v>
      </c>
    </row>
    <row r="47" spans="1:9" ht="12.75">
      <c r="A47" s="310">
        <v>16</v>
      </c>
      <c r="B47" s="308" t="s">
        <v>150</v>
      </c>
      <c r="C47" s="309">
        <v>213</v>
      </c>
      <c r="D47" s="214">
        <f>'калькуляция '!AC31*3</f>
        <v>7814.25</v>
      </c>
      <c r="E47" s="214">
        <f>'калькуляция '!AC31*0</f>
        <v>0</v>
      </c>
      <c r="F47" s="214">
        <f>'калькуляция 01.10.'!AC31*0</f>
        <v>0</v>
      </c>
      <c r="G47" s="214">
        <f>'калькуляция 01.10.'!AC31*3</f>
        <v>7814.22</v>
      </c>
      <c r="H47" s="213">
        <f aca="true" t="shared" si="8" ref="H47:H58">D47+E47+F47+G47</f>
        <v>15628.47</v>
      </c>
      <c r="I47" s="219">
        <f t="shared" si="4"/>
        <v>12502.78</v>
      </c>
    </row>
    <row r="48" spans="1:9" ht="12.75" hidden="1">
      <c r="A48" s="310">
        <v>17</v>
      </c>
      <c r="B48" s="308" t="s">
        <v>80</v>
      </c>
      <c r="C48" s="309">
        <v>211</v>
      </c>
      <c r="D48" s="214">
        <f>'калькуляция '!AC32*3</f>
        <v>0</v>
      </c>
      <c r="E48" s="214">
        <f>'калькуляция '!AC32*3</f>
        <v>0</v>
      </c>
      <c r="F48" s="214">
        <f>'калькуляция 01.10.'!AC32*0</f>
        <v>0</v>
      </c>
      <c r="G48" s="214">
        <f>'калькуляция 01.10.'!AC32*3</f>
        <v>0</v>
      </c>
      <c r="H48" s="213">
        <f t="shared" si="8"/>
        <v>0</v>
      </c>
      <c r="I48" s="219">
        <f t="shared" si="4"/>
        <v>0</v>
      </c>
    </row>
    <row r="49" spans="1:9" ht="12.75" hidden="1">
      <c r="A49" s="310">
        <v>18</v>
      </c>
      <c r="B49" s="308" t="s">
        <v>33</v>
      </c>
      <c r="C49" s="309">
        <v>213</v>
      </c>
      <c r="D49" s="214">
        <f>'калькуляция '!AC33*3</f>
        <v>0</v>
      </c>
      <c r="E49" s="214">
        <f>'калькуляция '!AC33*3</f>
        <v>0</v>
      </c>
      <c r="F49" s="214">
        <f>'калькуляция 01.10.'!AC33*0</f>
        <v>0</v>
      </c>
      <c r="G49" s="214">
        <f>'калькуляция 01.10.'!AC33*3</f>
        <v>0</v>
      </c>
      <c r="H49" s="213">
        <f t="shared" si="8"/>
        <v>0</v>
      </c>
      <c r="I49" s="219">
        <f t="shared" si="4"/>
        <v>0</v>
      </c>
    </row>
    <row r="50" spans="1:10" ht="12.75">
      <c r="A50" s="310">
        <v>19</v>
      </c>
      <c r="B50" s="313" t="s">
        <v>21</v>
      </c>
      <c r="C50" s="309">
        <v>211</v>
      </c>
      <c r="D50" s="214">
        <f>'калькуляция '!AC34*3</f>
        <v>6468.75</v>
      </c>
      <c r="E50" s="214">
        <f>'калькуляция '!AC34*0</f>
        <v>0</v>
      </c>
      <c r="F50" s="214">
        <f>'калькуляция 01.10.'!AC34*0</f>
        <v>0</v>
      </c>
      <c r="G50" s="214">
        <f>'калькуляция 01.10.'!AC34*3</f>
        <v>6468.78</v>
      </c>
      <c r="H50" s="213">
        <f t="shared" si="8"/>
        <v>12937.53</v>
      </c>
      <c r="I50" s="219">
        <f t="shared" si="4"/>
        <v>10350.02</v>
      </c>
      <c r="J50" s="302"/>
    </row>
    <row r="51" spans="1:9" ht="12.75">
      <c r="A51" s="310">
        <v>20</v>
      </c>
      <c r="B51" s="314" t="s">
        <v>22</v>
      </c>
      <c r="C51" s="312">
        <v>213</v>
      </c>
      <c r="D51" s="214">
        <f>'калькуляция '!AC35*3</f>
        <v>1953.54</v>
      </c>
      <c r="E51" s="214">
        <f>'калькуляция '!AC35*0</f>
        <v>0</v>
      </c>
      <c r="F51" s="214">
        <f>'калькуляция 01.10.'!AC35*0</f>
        <v>0</v>
      </c>
      <c r="G51" s="214">
        <f>'калькуляция 01.10.'!AC35*3</f>
        <v>1953.63</v>
      </c>
      <c r="H51" s="213">
        <f t="shared" si="8"/>
        <v>3907.17</v>
      </c>
      <c r="I51" s="219">
        <f t="shared" si="4"/>
        <v>3125.74</v>
      </c>
    </row>
    <row r="52" spans="1:9" ht="12.75">
      <c r="A52" s="310">
        <v>21</v>
      </c>
      <c r="B52" s="315" t="s">
        <v>23</v>
      </c>
      <c r="C52" s="317">
        <v>211</v>
      </c>
      <c r="D52" s="214">
        <f>'калькуляция '!AC36*3</f>
        <v>2575.71</v>
      </c>
      <c r="E52" s="214">
        <f>'калькуляция '!AC36*0</f>
        <v>0</v>
      </c>
      <c r="F52" s="214">
        <f>'калькуляция 01.10.'!AC36*0</f>
        <v>0</v>
      </c>
      <c r="G52" s="214">
        <f>'калькуляция 01.10.'!AC36*3</f>
        <v>2575.71</v>
      </c>
      <c r="H52" s="213">
        <f t="shared" si="8"/>
        <v>5151.42</v>
      </c>
      <c r="I52" s="219">
        <f t="shared" si="4"/>
        <v>4121.14</v>
      </c>
    </row>
    <row r="53" spans="1:9" ht="12.75">
      <c r="A53" s="310">
        <v>22</v>
      </c>
      <c r="B53" s="315" t="s">
        <v>24</v>
      </c>
      <c r="C53" s="317">
        <v>213</v>
      </c>
      <c r="D53" s="214">
        <f>'калькуляция '!AC37*3</f>
        <v>777.87</v>
      </c>
      <c r="E53" s="214">
        <f>'калькуляция '!AC37*0</f>
        <v>0</v>
      </c>
      <c r="F53" s="214">
        <f>'калькуляция 01.10.'!AC37*0</f>
        <v>0</v>
      </c>
      <c r="G53" s="214">
        <f>'калькуляция 01.10.'!AC37*3</f>
        <v>777.87</v>
      </c>
      <c r="H53" s="213">
        <f t="shared" si="8"/>
        <v>1555.74</v>
      </c>
      <c r="I53" s="219">
        <f t="shared" si="4"/>
        <v>1244.59</v>
      </c>
    </row>
    <row r="54" spans="1:9" ht="12.75">
      <c r="A54" s="310">
        <v>23</v>
      </c>
      <c r="B54" s="315" t="s">
        <v>34</v>
      </c>
      <c r="C54" s="317"/>
      <c r="D54" s="214">
        <f>'калькуляция '!AC38*3</f>
        <v>0</v>
      </c>
      <c r="E54" s="214">
        <f>'калькуляция '!AC38*0</f>
        <v>0</v>
      </c>
      <c r="F54" s="214">
        <f>'калькуляция 01.10.'!AC38*0</f>
        <v>0</v>
      </c>
      <c r="G54" s="214">
        <f>'калькуляция 01.10.'!AC38*3</f>
        <v>0</v>
      </c>
      <c r="H54" s="213">
        <f t="shared" si="8"/>
        <v>0</v>
      </c>
      <c r="I54" s="219">
        <f t="shared" si="4"/>
        <v>0</v>
      </c>
    </row>
    <row r="55" spans="1:9" ht="12.75">
      <c r="A55" s="310">
        <v>24</v>
      </c>
      <c r="B55" s="323" t="s">
        <v>81</v>
      </c>
      <c r="C55" s="324">
        <v>226</v>
      </c>
      <c r="D55" s="214">
        <f>'калькуляция '!AC39*3</f>
        <v>13999.98</v>
      </c>
      <c r="E55" s="214">
        <f>'калькуляция '!AC39*0</f>
        <v>0</v>
      </c>
      <c r="F55" s="214">
        <f>'калькуляция 01.10.'!AC39*0</f>
        <v>0</v>
      </c>
      <c r="G55" s="214">
        <f>'калькуляция 01.10.'!AC39*3</f>
        <v>14000.01</v>
      </c>
      <c r="H55" s="213">
        <f t="shared" si="8"/>
        <v>27999.99</v>
      </c>
      <c r="I55" s="219">
        <f t="shared" si="4"/>
        <v>22399.99</v>
      </c>
    </row>
    <row r="56" spans="1:9" ht="12.75">
      <c r="A56" s="316">
        <v>25</v>
      </c>
      <c r="B56" s="323" t="s">
        <v>86</v>
      </c>
      <c r="C56" s="324">
        <v>291</v>
      </c>
      <c r="D56" s="214">
        <f>'калькуляция '!AC40*3</f>
        <v>1341</v>
      </c>
      <c r="E56" s="214">
        <f>'калькуляция '!AC40*0</f>
        <v>0</v>
      </c>
      <c r="F56" s="214">
        <f>'калькуляция 01.10.'!AC40*0</f>
        <v>0</v>
      </c>
      <c r="G56" s="214">
        <f>'калькуляция 01.10.'!AC40*3</f>
        <v>1340.97</v>
      </c>
      <c r="H56" s="213">
        <f t="shared" si="8"/>
        <v>2681.97</v>
      </c>
      <c r="I56" s="219">
        <f t="shared" si="4"/>
        <v>2145.58</v>
      </c>
    </row>
    <row r="57" spans="1:9" ht="12.75">
      <c r="A57" s="316">
        <v>26</v>
      </c>
      <c r="B57" s="323" t="s">
        <v>155</v>
      </c>
      <c r="C57" s="324">
        <v>291</v>
      </c>
      <c r="D57" s="214">
        <f>'калькуляция '!AC41*3</f>
        <v>16849.98</v>
      </c>
      <c r="E57" s="214">
        <f>'калькуляция '!AC41*0</f>
        <v>0</v>
      </c>
      <c r="F57" s="214">
        <f>'калькуляция 01.10.'!AC41*0</f>
        <v>0</v>
      </c>
      <c r="G57" s="214">
        <f>'калькуляция 01.10.'!AC41*3</f>
        <v>16850.01</v>
      </c>
      <c r="H57" s="213">
        <f t="shared" si="8"/>
        <v>33699.99</v>
      </c>
      <c r="I57" s="219">
        <f>H57*0.8</f>
        <v>26959.99</v>
      </c>
    </row>
    <row r="58" spans="1:10" ht="13.5" thickBot="1">
      <c r="A58" s="316">
        <v>27</v>
      </c>
      <c r="B58" s="323" t="s">
        <v>158</v>
      </c>
      <c r="C58" s="324">
        <v>226</v>
      </c>
      <c r="D58" s="214">
        <f>'калькуляция '!AC42*3</f>
        <v>5410.47</v>
      </c>
      <c r="E58" s="214">
        <f>'калькуляция '!AC42*0</f>
        <v>0</v>
      </c>
      <c r="F58" s="214">
        <f>'калькуляция 01.10.'!AC42*0</f>
        <v>0</v>
      </c>
      <c r="G58" s="214">
        <f>'калькуляция 01.10.'!AC42*3</f>
        <v>5410.47</v>
      </c>
      <c r="H58" s="213">
        <f t="shared" si="8"/>
        <v>10820.94</v>
      </c>
      <c r="I58" s="219">
        <f t="shared" si="4"/>
        <v>8656.75</v>
      </c>
      <c r="J58" s="44" t="s">
        <v>79</v>
      </c>
    </row>
    <row r="59" spans="1:9" ht="13.5" thickBot="1">
      <c r="A59" s="318"/>
      <c r="B59" s="319" t="s">
        <v>35</v>
      </c>
      <c r="C59" s="320"/>
      <c r="D59" s="228">
        <f aca="true" t="shared" si="9" ref="D59:I59">SUM(D46:D58)</f>
        <v>83066.55</v>
      </c>
      <c r="E59" s="228">
        <f t="shared" si="9"/>
        <v>0</v>
      </c>
      <c r="F59" s="228">
        <f t="shared" si="9"/>
        <v>0</v>
      </c>
      <c r="G59" s="228">
        <f t="shared" si="9"/>
        <v>83066.67</v>
      </c>
      <c r="H59" s="228">
        <f t="shared" si="9"/>
        <v>166133.22</v>
      </c>
      <c r="I59" s="228">
        <f t="shared" si="9"/>
        <v>132906.58</v>
      </c>
    </row>
    <row r="60" spans="1:9" ht="13.5" thickBot="1">
      <c r="A60" s="325"/>
      <c r="B60" s="319" t="s">
        <v>82</v>
      </c>
      <c r="C60" s="320"/>
      <c r="D60" s="228">
        <f aca="true" t="shared" si="10" ref="D60:I60">D37+D45+D59</f>
        <v>388155.57</v>
      </c>
      <c r="E60" s="228">
        <f t="shared" si="10"/>
        <v>0</v>
      </c>
      <c r="F60" s="228">
        <f t="shared" si="10"/>
        <v>0</v>
      </c>
      <c r="G60" s="228">
        <f t="shared" si="10"/>
        <v>387761.94</v>
      </c>
      <c r="H60" s="228">
        <f t="shared" si="10"/>
        <v>775917.51</v>
      </c>
      <c r="I60" s="228">
        <f t="shared" si="10"/>
        <v>620733.99</v>
      </c>
    </row>
    <row r="61" spans="1:10" ht="13.5" thickBot="1">
      <c r="A61" s="318"/>
      <c r="B61" s="326" t="s">
        <v>83</v>
      </c>
      <c r="C61" s="327"/>
      <c r="D61" s="214">
        <f>D62-D60</f>
        <v>31844.43</v>
      </c>
      <c r="E61" s="214">
        <f>E62-E60</f>
        <v>0</v>
      </c>
      <c r="F61" s="214">
        <f>F62-F60</f>
        <v>0</v>
      </c>
      <c r="G61" s="214">
        <f>G62-G60</f>
        <v>155838.06</v>
      </c>
      <c r="H61" s="213">
        <f>D61+E61+F61+G61</f>
        <v>187682.49</v>
      </c>
      <c r="I61" s="219">
        <f>H61*0.8</f>
        <v>150145.99</v>
      </c>
      <c r="J61" s="302"/>
    </row>
    <row r="62" spans="1:10" ht="13.5" thickBot="1">
      <c r="A62" s="328"/>
      <c r="B62" s="319" t="s">
        <v>82</v>
      </c>
      <c r="C62" s="320"/>
      <c r="D62" s="228">
        <f aca="true" t="shared" si="11" ref="D62:I62">D23</f>
        <v>420000</v>
      </c>
      <c r="E62" s="228">
        <f t="shared" si="11"/>
        <v>0</v>
      </c>
      <c r="F62" s="228">
        <f t="shared" si="11"/>
        <v>0</v>
      </c>
      <c r="G62" s="228">
        <f t="shared" si="11"/>
        <v>543600</v>
      </c>
      <c r="H62" s="228">
        <f t="shared" si="11"/>
        <v>963600</v>
      </c>
      <c r="I62" s="228">
        <f t="shared" si="11"/>
        <v>770880</v>
      </c>
      <c r="J62" s="302"/>
    </row>
    <row r="64" ht="12.75">
      <c r="I64" s="302"/>
    </row>
    <row r="65" spans="2:8" ht="12.75">
      <c r="B65" s="43"/>
      <c r="C65" s="43"/>
      <c r="D65" s="329"/>
      <c r="E65" s="329"/>
      <c r="F65" s="371"/>
      <c r="G65" s="329"/>
      <c r="H65" s="329"/>
    </row>
  </sheetData>
  <sheetProtection/>
  <mergeCells count="20">
    <mergeCell ref="B15:C15"/>
    <mergeCell ref="B22:C22"/>
    <mergeCell ref="A6:I6"/>
    <mergeCell ref="A7:I7"/>
    <mergeCell ref="A8:I8"/>
    <mergeCell ref="A10:I10"/>
    <mergeCell ref="A12:A13"/>
    <mergeCell ref="B12:C13"/>
    <mergeCell ref="D12:I12"/>
    <mergeCell ref="A9:I9"/>
    <mergeCell ref="D28:I28"/>
    <mergeCell ref="B23:C23"/>
    <mergeCell ref="A28:A29"/>
    <mergeCell ref="B28:B29"/>
    <mergeCell ref="C28:C29"/>
    <mergeCell ref="B14:C14"/>
    <mergeCell ref="B16:C16"/>
    <mergeCell ref="B17:C17"/>
    <mergeCell ref="A26:I26"/>
    <mergeCell ref="B20:C20"/>
  </mergeCells>
  <printOptions/>
  <pageMargins left="0.1968503937007874" right="0.2362204724409449" top="0.7480314960629921" bottom="0.7480314960629921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Polyglot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User</cp:lastModifiedBy>
  <cp:lastPrinted>2020-10-20T11:59:32Z</cp:lastPrinted>
  <dcterms:created xsi:type="dcterms:W3CDTF">2013-09-23T09:29:12Z</dcterms:created>
  <dcterms:modified xsi:type="dcterms:W3CDTF">2022-07-07T03:55:19Z</dcterms:modified>
  <cp:category/>
  <cp:version/>
  <cp:contentType/>
  <cp:contentStatus/>
</cp:coreProperties>
</file>